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rozova_ev\Desktop\Отчет по ПЗ по приказам 74,  №58 от 02.30.2022\2026\информация на портал 2024\"/>
    </mc:Choice>
  </mc:AlternateContent>
  <bookViews>
    <workbookView xWindow="-120" yWindow="-60" windowWidth="29040" windowHeight="15780"/>
  </bookViews>
  <sheets>
    <sheet name="44-ФЗ" sheetId="2" r:id="rId1"/>
  </sheets>
  <definedNames>
    <definedName name="_xlnm._FilterDatabase" localSheetId="0" hidden="1">'44-ФЗ'!#REF!</definedName>
    <definedName name="_xlnm.Print_Titles" localSheetId="0">'44-ФЗ'!$7:$7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7" i="2" l="1"/>
  <c r="F106" i="2"/>
  <c r="F105" i="2"/>
  <c r="G1750" i="2"/>
  <c r="F612" i="2"/>
  <c r="F604" i="2"/>
  <c r="J1741" i="2"/>
  <c r="F1741" i="2"/>
  <c r="G1741" i="2"/>
  <c r="H1741" i="2"/>
  <c r="I1741" i="2"/>
  <c r="F1737" i="2"/>
  <c r="G1737" i="2"/>
  <c r="I1737" i="2"/>
  <c r="J1737" i="2"/>
  <c r="H1737" i="2"/>
  <c r="H1733" i="2"/>
  <c r="I1733" i="2"/>
  <c r="J1733" i="2"/>
  <c r="G1733" i="2"/>
  <c r="F1733" i="2" s="1"/>
  <c r="G1729" i="2" l="1"/>
  <c r="H1729" i="2"/>
  <c r="J1729" i="2"/>
  <c r="I1729" i="2"/>
  <c r="F1714" i="2"/>
  <c r="G1714" i="2"/>
  <c r="I1714" i="2"/>
  <c r="J1714" i="2"/>
  <c r="H1714" i="2"/>
  <c r="H1699" i="2"/>
  <c r="I1699" i="2"/>
  <c r="G1699" i="2"/>
  <c r="G1679" i="2"/>
  <c r="H1679" i="2"/>
  <c r="J1679" i="2"/>
  <c r="H1670" i="2"/>
  <c r="I1670" i="2"/>
  <c r="J1670" i="2"/>
  <c r="G1662" i="2"/>
  <c r="H1662" i="2"/>
  <c r="J1662" i="2"/>
  <c r="G1653" i="2" l="1"/>
  <c r="I1653" i="2"/>
  <c r="H1639" i="2"/>
  <c r="I1639" i="2"/>
  <c r="G1639" i="2"/>
  <c r="F1639" i="2" s="1"/>
  <c r="F1729" i="2"/>
  <c r="J1698" i="2"/>
  <c r="J1697" i="2"/>
  <c r="J1696" i="2"/>
  <c r="J1695" i="2"/>
  <c r="J1694" i="2"/>
  <c r="J1693" i="2"/>
  <c r="J1692" i="2"/>
  <c r="J1691" i="2"/>
  <c r="J1690" i="2"/>
  <c r="J1689" i="2"/>
  <c r="J1688" i="2"/>
  <c r="J1687" i="2"/>
  <c r="J1686" i="2"/>
  <c r="J1685" i="2"/>
  <c r="J1684" i="2"/>
  <c r="J1683" i="2"/>
  <c r="J1682" i="2"/>
  <c r="J1681" i="2"/>
  <c r="J1680" i="2"/>
  <c r="I1678" i="2"/>
  <c r="F1678" i="2"/>
  <c r="I1677" i="2"/>
  <c r="F1677" i="2"/>
  <c r="I1676" i="2"/>
  <c r="F1676" i="2"/>
  <c r="H1674" i="2"/>
  <c r="F1674" i="2"/>
  <c r="H1673" i="2"/>
  <c r="F1673" i="2"/>
  <c r="H1672" i="2"/>
  <c r="F1672" i="2"/>
  <c r="H1671" i="2"/>
  <c r="F1671" i="2"/>
  <c r="G1669" i="2"/>
  <c r="F1669" i="2"/>
  <c r="G1668" i="2"/>
  <c r="F1668" i="2"/>
  <c r="G1667" i="2"/>
  <c r="F1667" i="2"/>
  <c r="G1666" i="2"/>
  <c r="F1666" i="2"/>
  <c r="G1665" i="2"/>
  <c r="F1665" i="2"/>
  <c r="G1664" i="2"/>
  <c r="F1664" i="2"/>
  <c r="G1663" i="2"/>
  <c r="F1663" i="2"/>
  <c r="G1670" i="2" l="1"/>
  <c r="F1670" i="2" s="1"/>
  <c r="F1675" i="2"/>
  <c r="F1679" i="2"/>
  <c r="H1675" i="2"/>
  <c r="I1679" i="2"/>
  <c r="J1699" i="2"/>
  <c r="F1699" i="2" s="1"/>
  <c r="I1661" i="2" l="1"/>
  <c r="I1660" i="2"/>
  <c r="I1659" i="2"/>
  <c r="I1658" i="2"/>
  <c r="I1657" i="2"/>
  <c r="I1656" i="2"/>
  <c r="F1655" i="2"/>
  <c r="F1654" i="2"/>
  <c r="H1652" i="2"/>
  <c r="H1651" i="2"/>
  <c r="H1650" i="2"/>
  <c r="H1649" i="2"/>
  <c r="H1653" i="2" s="1"/>
  <c r="F1653" i="2" s="1"/>
  <c r="F1643" i="2"/>
  <c r="F1642" i="2"/>
  <c r="F1641" i="2"/>
  <c r="F1640" i="2"/>
  <c r="F1631" i="2"/>
  <c r="F1630" i="2"/>
  <c r="F1629" i="2"/>
  <c r="F1628" i="2"/>
  <c r="F1627" i="2"/>
  <c r="F1626" i="2"/>
  <c r="F1625" i="2"/>
  <c r="F1624" i="2"/>
  <c r="F1623" i="2"/>
  <c r="F1622" i="2"/>
  <c r="F1621" i="2"/>
  <c r="F1620" i="2"/>
  <c r="F1619" i="2"/>
  <c r="F1618" i="2"/>
  <c r="F1617" i="2"/>
  <c r="F1616" i="2"/>
  <c r="F1615" i="2"/>
  <c r="F1614" i="2"/>
  <c r="F1613" i="2"/>
  <c r="F1612" i="2"/>
  <c r="F1611" i="2"/>
  <c r="F1610" i="2"/>
  <c r="F1609" i="2"/>
  <c r="F1608" i="2"/>
  <c r="F1607" i="2"/>
  <c r="I1662" i="2" l="1"/>
  <c r="F1662" i="2" s="1"/>
  <c r="I1596" i="2"/>
  <c r="H1596" i="2"/>
  <c r="G1596" i="2"/>
  <c r="F1596" i="2"/>
  <c r="I1593" i="2"/>
  <c r="H1593" i="2"/>
  <c r="G1593" i="2"/>
  <c r="F1593" i="2"/>
  <c r="I1590" i="2"/>
  <c r="H1590" i="2"/>
  <c r="G1590" i="2"/>
  <c r="F1590" i="2"/>
  <c r="I1569" i="2"/>
  <c r="H1569" i="2"/>
  <c r="G1569" i="2"/>
  <c r="F1569" i="2"/>
  <c r="I1566" i="2"/>
  <c r="H1566" i="2"/>
  <c r="G1566" i="2"/>
  <c r="F1566" i="2"/>
  <c r="I1563" i="2"/>
  <c r="H1563" i="2"/>
  <c r="G1563" i="2"/>
  <c r="F1563" i="2"/>
  <c r="I1558" i="2"/>
  <c r="H1558" i="2"/>
  <c r="G1558" i="2"/>
  <c r="F1558" i="2"/>
  <c r="I1556" i="2"/>
  <c r="H1556" i="2"/>
  <c r="G1556" i="2"/>
  <c r="F1556" i="2"/>
  <c r="I1554" i="2"/>
  <c r="H1554" i="2"/>
  <c r="G1554" i="2"/>
  <c r="F1554" i="2"/>
  <c r="I1552" i="2"/>
  <c r="H1552" i="2"/>
  <c r="G1552" i="2"/>
  <c r="F1552" i="2"/>
  <c r="I1550" i="2"/>
  <c r="H1550" i="2"/>
  <c r="G1550" i="2"/>
  <c r="F1550" i="2"/>
  <c r="I1546" i="2"/>
  <c r="H1546" i="2"/>
  <c r="G1546" i="2"/>
  <c r="F1546" i="2"/>
  <c r="I1544" i="2"/>
  <c r="H1544" i="2"/>
  <c r="G1544" i="2"/>
  <c r="F1544" i="2"/>
  <c r="I1541" i="2"/>
  <c r="H1541" i="2"/>
  <c r="G1541" i="2"/>
  <c r="F1541" i="2"/>
  <c r="I1536" i="2"/>
  <c r="H1536" i="2"/>
  <c r="G1536" i="2"/>
  <c r="F1536" i="2"/>
  <c r="I1533" i="2"/>
  <c r="H1533" i="2"/>
  <c r="G1533" i="2"/>
  <c r="F1533" i="2"/>
  <c r="I1531" i="2"/>
  <c r="H1531" i="2"/>
  <c r="G1531" i="2"/>
  <c r="F1531" i="2"/>
  <c r="I1529" i="2"/>
  <c r="H1529" i="2"/>
  <c r="G1529" i="2"/>
  <c r="F1529" i="2"/>
  <c r="I1527" i="2"/>
  <c r="H1527" i="2"/>
  <c r="G1527" i="2"/>
  <c r="F1527" i="2"/>
  <c r="I1525" i="2"/>
  <c r="H1525" i="2"/>
  <c r="G1525" i="2"/>
  <c r="F1525" i="2"/>
  <c r="I1523" i="2"/>
  <c r="H1523" i="2"/>
  <c r="G1523" i="2"/>
  <c r="F1523" i="2"/>
  <c r="J1521" i="2"/>
  <c r="J1522" i="2" s="1"/>
  <c r="J1523" i="2" s="1"/>
  <c r="J1524" i="2" s="1"/>
  <c r="J1525" i="2" s="1"/>
  <c r="J1526" i="2" s="1"/>
  <c r="J1527" i="2" s="1"/>
  <c r="J1528" i="2" s="1"/>
  <c r="J1529" i="2" s="1"/>
  <c r="J1530" i="2" s="1"/>
  <c r="J1531" i="2" s="1"/>
  <c r="J1532" i="2" s="1"/>
  <c r="J1533" i="2" s="1"/>
  <c r="J1534" i="2" s="1"/>
  <c r="J1535" i="2" s="1"/>
  <c r="J1536" i="2" s="1"/>
  <c r="J1537" i="2" s="1"/>
  <c r="J1538" i="2" s="1"/>
  <c r="J1539" i="2" s="1"/>
  <c r="J1540" i="2" s="1"/>
  <c r="J1541" i="2" s="1"/>
  <c r="J1542" i="2" s="1"/>
  <c r="J1543" i="2" s="1"/>
  <c r="J1544" i="2" s="1"/>
  <c r="J1545" i="2" s="1"/>
  <c r="J1546" i="2" s="1"/>
  <c r="J1547" i="2" s="1"/>
  <c r="J1548" i="2" s="1"/>
  <c r="J1549" i="2" s="1"/>
  <c r="J1550" i="2" s="1"/>
  <c r="J1551" i="2" s="1"/>
  <c r="J1552" i="2" s="1"/>
  <c r="J1553" i="2" s="1"/>
  <c r="J1554" i="2" s="1"/>
  <c r="J1555" i="2" s="1"/>
  <c r="J1556" i="2" s="1"/>
  <c r="J1557" i="2" s="1"/>
  <c r="J1558" i="2" s="1"/>
  <c r="J1559" i="2" s="1"/>
  <c r="J1560" i="2" s="1"/>
  <c r="J1561" i="2" s="1"/>
  <c r="J1562" i="2" s="1"/>
  <c r="J1563" i="2" s="1"/>
  <c r="J1564" i="2" s="1"/>
  <c r="J1565" i="2" s="1"/>
  <c r="J1566" i="2" s="1"/>
  <c r="J1567" i="2" s="1"/>
  <c r="J1568" i="2" s="1"/>
  <c r="J1569" i="2" s="1"/>
  <c r="J1570" i="2" s="1"/>
  <c r="J1571" i="2" s="1"/>
  <c r="J1572" i="2" s="1"/>
  <c r="J1573" i="2" s="1"/>
  <c r="J1574" i="2" s="1"/>
  <c r="J1575" i="2" s="1"/>
  <c r="J1576" i="2" s="1"/>
  <c r="J1577" i="2" s="1"/>
  <c r="J1578" i="2" s="1"/>
  <c r="J1579" i="2" s="1"/>
  <c r="J1580" i="2" s="1"/>
  <c r="J1581" i="2" s="1"/>
  <c r="J1582" i="2" s="1"/>
  <c r="J1583" i="2" s="1"/>
  <c r="J1584" i="2" s="1"/>
  <c r="J1585" i="2" s="1"/>
  <c r="J1586" i="2" s="1"/>
  <c r="J1587" i="2" s="1"/>
  <c r="J1588" i="2" s="1"/>
  <c r="J1589" i="2" s="1"/>
  <c r="J1590" i="2" s="1"/>
  <c r="J1591" i="2" s="1"/>
  <c r="J1592" i="2" s="1"/>
  <c r="J1593" i="2" s="1"/>
  <c r="J1594" i="2" s="1"/>
  <c r="J1595" i="2" s="1"/>
  <c r="J1596" i="2" s="1"/>
  <c r="I1521" i="2"/>
  <c r="H1521" i="2"/>
  <c r="G1521" i="2"/>
  <c r="F1521" i="2"/>
  <c r="I1519" i="2"/>
  <c r="H1519" i="2"/>
  <c r="G1519" i="2"/>
  <c r="F1519" i="2"/>
  <c r="I1517" i="2"/>
  <c r="H1517" i="2"/>
  <c r="G1517" i="2"/>
  <c r="F1517" i="2"/>
  <c r="I1513" i="2"/>
  <c r="H1513" i="2"/>
  <c r="G1513" i="2"/>
  <c r="F1513" i="2"/>
  <c r="I1510" i="2"/>
  <c r="H1510" i="2"/>
  <c r="G1510" i="2"/>
  <c r="F1510" i="2"/>
  <c r="I1508" i="2"/>
  <c r="H1508" i="2"/>
  <c r="G1508" i="2"/>
  <c r="F1508" i="2"/>
  <c r="I1506" i="2"/>
  <c r="H1506" i="2"/>
  <c r="G1506" i="2"/>
  <c r="F1506" i="2"/>
  <c r="I1503" i="2"/>
  <c r="H1503" i="2"/>
  <c r="G1503" i="2"/>
  <c r="F1503" i="2"/>
  <c r="I1501" i="2"/>
  <c r="H1501" i="2"/>
  <c r="G1501" i="2"/>
  <c r="F1501" i="2"/>
  <c r="I1498" i="2"/>
  <c r="H1498" i="2"/>
  <c r="G1498" i="2"/>
  <c r="F1498" i="2"/>
  <c r="I1496" i="2"/>
  <c r="H1496" i="2"/>
  <c r="G1496" i="2"/>
  <c r="F1496" i="2"/>
  <c r="I1493" i="2"/>
  <c r="H1493" i="2"/>
  <c r="G1493" i="2"/>
  <c r="F1493" i="2"/>
  <c r="H1491" i="2"/>
  <c r="G1491" i="2"/>
  <c r="F1491" i="2"/>
  <c r="I1489" i="2"/>
  <c r="H1489" i="2"/>
  <c r="G1489" i="2"/>
  <c r="F1489" i="2"/>
  <c r="I1486" i="2"/>
  <c r="H1486" i="2"/>
  <c r="G1486" i="2"/>
  <c r="F1486" i="2"/>
  <c r="I1483" i="2"/>
  <c r="H1483" i="2"/>
  <c r="G1483" i="2"/>
  <c r="F1483" i="2"/>
  <c r="I1480" i="2"/>
  <c r="H1480" i="2"/>
  <c r="G1480" i="2"/>
  <c r="F1480" i="2"/>
  <c r="I1477" i="2"/>
  <c r="H1477" i="2"/>
  <c r="G1477" i="2"/>
  <c r="F1477" i="2"/>
  <c r="I1475" i="2"/>
  <c r="H1475" i="2"/>
  <c r="G1475" i="2"/>
  <c r="F1475" i="2"/>
  <c r="I1473" i="2"/>
  <c r="H1473" i="2"/>
  <c r="G1473" i="2"/>
  <c r="F1473" i="2"/>
  <c r="J1470" i="2"/>
  <c r="I1470" i="2"/>
  <c r="H1470" i="2"/>
  <c r="F1470" i="2"/>
  <c r="G1467" i="2"/>
  <c r="G1466" i="2"/>
  <c r="G1465" i="2"/>
  <c r="I1463" i="2"/>
  <c r="H1463" i="2"/>
  <c r="G1463" i="2"/>
  <c r="F1463" i="2"/>
  <c r="I1461" i="2"/>
  <c r="H1461" i="2"/>
  <c r="G1461" i="2"/>
  <c r="F1461" i="2"/>
  <c r="I1457" i="2"/>
  <c r="H1457" i="2"/>
  <c r="G1457" i="2"/>
  <c r="F1457" i="2"/>
  <c r="J1453" i="2"/>
  <c r="I1453" i="2"/>
  <c r="H1453" i="2"/>
  <c r="G1453" i="2"/>
  <c r="F1453" i="2"/>
  <c r="I1451" i="2"/>
  <c r="H1451" i="2"/>
  <c r="G1451" i="2"/>
  <c r="F1451" i="2"/>
  <c r="H1449" i="2"/>
  <c r="G1449" i="2"/>
  <c r="F1449" i="2"/>
  <c r="I1445" i="2"/>
  <c r="H1445" i="2"/>
  <c r="G1445" i="2"/>
  <c r="F1445" i="2"/>
  <c r="I1441" i="2"/>
  <c r="H1441" i="2"/>
  <c r="G1441" i="2"/>
  <c r="F1441" i="2"/>
  <c r="I1438" i="2"/>
  <c r="H1438" i="2"/>
  <c r="G1438" i="2"/>
  <c r="F1438" i="2"/>
  <c r="I1432" i="2"/>
  <c r="H1432" i="2"/>
  <c r="G1432" i="2"/>
  <c r="F1432" i="2"/>
  <c r="I1430" i="2"/>
  <c r="H1430" i="2"/>
  <c r="G1430" i="2"/>
  <c r="F1430" i="2"/>
  <c r="I1426" i="2"/>
  <c r="H1426" i="2"/>
  <c r="G1426" i="2"/>
  <c r="F1426" i="2"/>
  <c r="I1424" i="2"/>
  <c r="H1424" i="2"/>
  <c r="G1424" i="2"/>
  <c r="F1424" i="2"/>
  <c r="I1421" i="2"/>
  <c r="H1421" i="2"/>
  <c r="G1421" i="2"/>
  <c r="F1421" i="2"/>
  <c r="I1417" i="2"/>
  <c r="H1417" i="2"/>
  <c r="G1417" i="2"/>
  <c r="F1417" i="2"/>
  <c r="I1414" i="2"/>
  <c r="H1414" i="2"/>
  <c r="G1414" i="2"/>
  <c r="F1414" i="2"/>
  <c r="I1410" i="2"/>
  <c r="H1410" i="2"/>
  <c r="G1410" i="2"/>
  <c r="F1410" i="2"/>
  <c r="I1405" i="2"/>
  <c r="H1405" i="2"/>
  <c r="G1405" i="2"/>
  <c r="F1405" i="2"/>
  <c r="I1400" i="2"/>
  <c r="H1400" i="2"/>
  <c r="F1399" i="2"/>
  <c r="G1398" i="2"/>
  <c r="G1400" i="2" s="1"/>
  <c r="F1398" i="2"/>
  <c r="I1396" i="2"/>
  <c r="I1397" i="2" s="1"/>
  <c r="H1396" i="2"/>
  <c r="H1397" i="2" s="1"/>
  <c r="G1396" i="2"/>
  <c r="G1397" i="2" s="1"/>
  <c r="F1396" i="2"/>
  <c r="F1397" i="2" s="1"/>
  <c r="H1395" i="2"/>
  <c r="G1395" i="2"/>
  <c r="I1394" i="2"/>
  <c r="I1395" i="2" s="1"/>
  <c r="F1394" i="2"/>
  <c r="F1395" i="2" s="1"/>
  <c r="I1393" i="2"/>
  <c r="G1393" i="2"/>
  <c r="H1392" i="2"/>
  <c r="H1393" i="2" s="1"/>
  <c r="F1392" i="2"/>
  <c r="F1393" i="2" s="1"/>
  <c r="I1390" i="2"/>
  <c r="I1391" i="2" s="1"/>
  <c r="H1390" i="2"/>
  <c r="H1391" i="2" s="1"/>
  <c r="G1390" i="2"/>
  <c r="G1391" i="2" s="1"/>
  <c r="F1390" i="2"/>
  <c r="F1391" i="2" s="1"/>
  <c r="H1389" i="2"/>
  <c r="G1389" i="2"/>
  <c r="I1388" i="2"/>
  <c r="I1389" i="2" s="1"/>
  <c r="F1388" i="2"/>
  <c r="F1389" i="2" s="1"/>
  <c r="I1387" i="2"/>
  <c r="G1387" i="2"/>
  <c r="H1386" i="2"/>
  <c r="H1387" i="2" s="1"/>
  <c r="F1386" i="2"/>
  <c r="F1387" i="2" s="1"/>
  <c r="I1384" i="2"/>
  <c r="I1385" i="2" s="1"/>
  <c r="H1384" i="2"/>
  <c r="H1385" i="2" s="1"/>
  <c r="G1384" i="2"/>
  <c r="F1384" i="2"/>
  <c r="G1383" i="2"/>
  <c r="F1383" i="2"/>
  <c r="J1382" i="2"/>
  <c r="H1382" i="2"/>
  <c r="G1382" i="2"/>
  <c r="I1381" i="2"/>
  <c r="F1381" i="2"/>
  <c r="I1380" i="2"/>
  <c r="F1380" i="2"/>
  <c r="A1380" i="2"/>
  <c r="A1381" i="2" s="1"/>
  <c r="I1379" i="2"/>
  <c r="F1379" i="2"/>
  <c r="J1378" i="2"/>
  <c r="I1378" i="2"/>
  <c r="G1378" i="2"/>
  <c r="H1377" i="2"/>
  <c r="F1377" i="2"/>
  <c r="H1376" i="2"/>
  <c r="F1376" i="2"/>
  <c r="A1376" i="2"/>
  <c r="A1377" i="2" s="1"/>
  <c r="H1375" i="2"/>
  <c r="F1375" i="2"/>
  <c r="J1374" i="2"/>
  <c r="I1374" i="2"/>
  <c r="H1374" i="2"/>
  <c r="G1373" i="2"/>
  <c r="F1373" i="2"/>
  <c r="G1372" i="2"/>
  <c r="F1372" i="2"/>
  <c r="J1371" i="2"/>
  <c r="H1371" i="2"/>
  <c r="G1371" i="2"/>
  <c r="I1370" i="2"/>
  <c r="F1370" i="2"/>
  <c r="I1369" i="2"/>
  <c r="F1369" i="2"/>
  <c r="I1368" i="2"/>
  <c r="F1368" i="2"/>
  <c r="A1368" i="2"/>
  <c r="A1369" i="2" s="1"/>
  <c r="A1370" i="2" s="1"/>
  <c r="I1367" i="2"/>
  <c r="F1367" i="2"/>
  <c r="J1366" i="2"/>
  <c r="I1366" i="2"/>
  <c r="G1366" i="2"/>
  <c r="H1365" i="2"/>
  <c r="F1365" i="2"/>
  <c r="H1364" i="2"/>
  <c r="F1364" i="2"/>
  <c r="A1364" i="2"/>
  <c r="A1365" i="2" s="1"/>
  <c r="H1363" i="2"/>
  <c r="F1363" i="2"/>
  <c r="H1362" i="2"/>
  <c r="F1362" i="2"/>
  <c r="J1361" i="2"/>
  <c r="I1361" i="2"/>
  <c r="H1361" i="2"/>
  <c r="G1360" i="2"/>
  <c r="F1360" i="2"/>
  <c r="G1359" i="2"/>
  <c r="F1359" i="2"/>
  <c r="G1358" i="2"/>
  <c r="F1358" i="2"/>
  <c r="J1357" i="2"/>
  <c r="G1357" i="2"/>
  <c r="I1356" i="2"/>
  <c r="I1357" i="2" s="1"/>
  <c r="F1356" i="2"/>
  <c r="H1355" i="2"/>
  <c r="H1357" i="2" s="1"/>
  <c r="F1355" i="2"/>
  <c r="J1354" i="2"/>
  <c r="H1354" i="2"/>
  <c r="G1354" i="2"/>
  <c r="I1353" i="2"/>
  <c r="I1354" i="2" s="1"/>
  <c r="F1353" i="2"/>
  <c r="J1352" i="2"/>
  <c r="G1352" i="2"/>
  <c r="I1351" i="2"/>
  <c r="F1351" i="2"/>
  <c r="I1350" i="2"/>
  <c r="F1350" i="2"/>
  <c r="H1349" i="2"/>
  <c r="H1352" i="2" s="1"/>
  <c r="F1349" i="2"/>
  <c r="J1348" i="2"/>
  <c r="H1347" i="2"/>
  <c r="F1347" i="2"/>
  <c r="H1346" i="2"/>
  <c r="F1346" i="2"/>
  <c r="I1345" i="2"/>
  <c r="I1348" i="2" s="1"/>
  <c r="H1345" i="2"/>
  <c r="F1345" i="2"/>
  <c r="H1344" i="2"/>
  <c r="F1344" i="2"/>
  <c r="G1343" i="2"/>
  <c r="G1348" i="2" s="1"/>
  <c r="F1343" i="2"/>
  <c r="J1342" i="2"/>
  <c r="H1342" i="2"/>
  <c r="G1342" i="2"/>
  <c r="I1341" i="2"/>
  <c r="I1342" i="2" s="1"/>
  <c r="F1341" i="2"/>
  <c r="J1340" i="2"/>
  <c r="I1339" i="2"/>
  <c r="H1339" i="2"/>
  <c r="F1339" i="2"/>
  <c r="I1338" i="2"/>
  <c r="H1338" i="2"/>
  <c r="F1338" i="2"/>
  <c r="H1337" i="2"/>
  <c r="G1337" i="2"/>
  <c r="G1340" i="2" s="1"/>
  <c r="F1337" i="2"/>
  <c r="H1336" i="2"/>
  <c r="F1336" i="2"/>
  <c r="J1335" i="2"/>
  <c r="H1335" i="2"/>
  <c r="G1335" i="2"/>
  <c r="I1334" i="2"/>
  <c r="I1335" i="2" s="1"/>
  <c r="F1334" i="2"/>
  <c r="J1333" i="2"/>
  <c r="I1333" i="2"/>
  <c r="G1333" i="2"/>
  <c r="H1332" i="2"/>
  <c r="H1333" i="2" s="1"/>
  <c r="F1332" i="2"/>
  <c r="J1331" i="2"/>
  <c r="I1331" i="2"/>
  <c r="H1331" i="2"/>
  <c r="G1330" i="2"/>
  <c r="F1330" i="2"/>
  <c r="G1329" i="2"/>
  <c r="F1329" i="2"/>
  <c r="G1328" i="2"/>
  <c r="F1328" i="2"/>
  <c r="G1327" i="2"/>
  <c r="F1327" i="2"/>
  <c r="J1326" i="2"/>
  <c r="G1325" i="2"/>
  <c r="G1326" i="2" s="1"/>
  <c r="F1325" i="2"/>
  <c r="I1324" i="2"/>
  <c r="H1324" i="2"/>
  <c r="F1324" i="2"/>
  <c r="I1323" i="2"/>
  <c r="H1323" i="2"/>
  <c r="H1326" i="2" s="1"/>
  <c r="F1323" i="2"/>
  <c r="J1322" i="2"/>
  <c r="H1322" i="2"/>
  <c r="G1322" i="2"/>
  <c r="I1321" i="2"/>
  <c r="I1322" i="2" s="1"/>
  <c r="F1321" i="2"/>
  <c r="J1320" i="2"/>
  <c r="I1320" i="2"/>
  <c r="H1319" i="2"/>
  <c r="F1319" i="2"/>
  <c r="H1318" i="2"/>
  <c r="H1320" i="2" s="1"/>
  <c r="G1318" i="2"/>
  <c r="F1318" i="2"/>
  <c r="G1317" i="2"/>
  <c r="F1317" i="2"/>
  <c r="J1316" i="2"/>
  <c r="H1316" i="2"/>
  <c r="G1316" i="2"/>
  <c r="I1315" i="2"/>
  <c r="F1315" i="2"/>
  <c r="I1314" i="2"/>
  <c r="F1314" i="2"/>
  <c r="J1313" i="2"/>
  <c r="G1313" i="2"/>
  <c r="H1312" i="2"/>
  <c r="F1312" i="2"/>
  <c r="H1311" i="2"/>
  <c r="H1313" i="2" s="1"/>
  <c r="F1311" i="2"/>
  <c r="I1310" i="2"/>
  <c r="F1310" i="2"/>
  <c r="I1309" i="2"/>
  <c r="F1309" i="2"/>
  <c r="I1308" i="2"/>
  <c r="F1308" i="2"/>
  <c r="I1307" i="2"/>
  <c r="F1307" i="2"/>
  <c r="A1307" i="2"/>
  <c r="A1308" i="2" s="1"/>
  <c r="A1309" i="2" s="1"/>
  <c r="A1310" i="2" s="1"/>
  <c r="A1311" i="2" s="1"/>
  <c r="A1312" i="2" s="1"/>
  <c r="I1306" i="2"/>
  <c r="F1306" i="2"/>
  <c r="I1305" i="2"/>
  <c r="F1305" i="2"/>
  <c r="J1304" i="2"/>
  <c r="G1303" i="2"/>
  <c r="F1303" i="2"/>
  <c r="G1302" i="2"/>
  <c r="F1302" i="2"/>
  <c r="H1301" i="2"/>
  <c r="F1301" i="2"/>
  <c r="H1300" i="2"/>
  <c r="F1300" i="2"/>
  <c r="H1299" i="2"/>
  <c r="F1299" i="2"/>
  <c r="H1298" i="2"/>
  <c r="F1298" i="2"/>
  <c r="H1297" i="2"/>
  <c r="F1297" i="2"/>
  <c r="H1296" i="2"/>
  <c r="F1296" i="2"/>
  <c r="A1296" i="2"/>
  <c r="A1297" i="2" s="1"/>
  <c r="A1298" i="2" s="1"/>
  <c r="A1299" i="2" s="1"/>
  <c r="A1300" i="2" s="1"/>
  <c r="A1301" i="2" s="1"/>
  <c r="A1302" i="2" s="1"/>
  <c r="A1303" i="2" s="1"/>
  <c r="I1295" i="2"/>
  <c r="I1304" i="2" s="1"/>
  <c r="H1295" i="2"/>
  <c r="F1295" i="2"/>
  <c r="J1294" i="2"/>
  <c r="H1294" i="2"/>
  <c r="G1294" i="2"/>
  <c r="I1293" i="2"/>
  <c r="I1294" i="2" s="1"/>
  <c r="F1293" i="2"/>
  <c r="J1292" i="2"/>
  <c r="I1292" i="2"/>
  <c r="G1292" i="2"/>
  <c r="H1291" i="2"/>
  <c r="H1292" i="2" s="1"/>
  <c r="F1291" i="2"/>
  <c r="J1290" i="2"/>
  <c r="I1290" i="2"/>
  <c r="H1290" i="2"/>
  <c r="G1289" i="2"/>
  <c r="F1289" i="2"/>
  <c r="G1288" i="2"/>
  <c r="F1288" i="2"/>
  <c r="G1287" i="2"/>
  <c r="F1287" i="2"/>
  <c r="G1286" i="2"/>
  <c r="F1286" i="2"/>
  <c r="J1285" i="2"/>
  <c r="H1285" i="2"/>
  <c r="G1285" i="2"/>
  <c r="I1284" i="2"/>
  <c r="F1284" i="2"/>
  <c r="I1283" i="2"/>
  <c r="F1283" i="2"/>
  <c r="A1283" i="2"/>
  <c r="A1284" i="2" s="1"/>
  <c r="I1282" i="2"/>
  <c r="F1282" i="2"/>
  <c r="I1281" i="2"/>
  <c r="F1281" i="2"/>
  <c r="J1280" i="2"/>
  <c r="I1280" i="2"/>
  <c r="G1280" i="2"/>
  <c r="H1279" i="2"/>
  <c r="F1279" i="2"/>
  <c r="H1278" i="2"/>
  <c r="F1278" i="2"/>
  <c r="H1277" i="2"/>
  <c r="F1277" i="2"/>
  <c r="H1276" i="2"/>
  <c r="F1276" i="2"/>
  <c r="J1275" i="2"/>
  <c r="H1275" i="2"/>
  <c r="G1275" i="2"/>
  <c r="I1274" i="2"/>
  <c r="I1275" i="2" s="1"/>
  <c r="F1274" i="2"/>
  <c r="J1273" i="2"/>
  <c r="G1273" i="2"/>
  <c r="I1272" i="2"/>
  <c r="I1273" i="2" s="1"/>
  <c r="F1272" i="2"/>
  <c r="H1271" i="2"/>
  <c r="H1273" i="2" s="1"/>
  <c r="F1271" i="2"/>
  <c r="J1270" i="2"/>
  <c r="H1269" i="2"/>
  <c r="F1269" i="2"/>
  <c r="I1268" i="2"/>
  <c r="I1270" i="2" s="1"/>
  <c r="H1268" i="2"/>
  <c r="F1268" i="2"/>
  <c r="H1267" i="2"/>
  <c r="F1267" i="2"/>
  <c r="G1266" i="2"/>
  <c r="F1266" i="2"/>
  <c r="G1265" i="2"/>
  <c r="F1265" i="2"/>
  <c r="J1264" i="2"/>
  <c r="H1264" i="2"/>
  <c r="G1264" i="2"/>
  <c r="I1263" i="2"/>
  <c r="F1263" i="2"/>
  <c r="I1262" i="2"/>
  <c r="F1262" i="2"/>
  <c r="I1261" i="2"/>
  <c r="F1261" i="2"/>
  <c r="I1260" i="2"/>
  <c r="F1260" i="2"/>
  <c r="J1259" i="2"/>
  <c r="I1259" i="2"/>
  <c r="G1259" i="2"/>
  <c r="H1257" i="2"/>
  <c r="F1257" i="2"/>
  <c r="H1256" i="2"/>
  <c r="F1256" i="2"/>
  <c r="H1255" i="2"/>
  <c r="F1255" i="2"/>
  <c r="H1254" i="2"/>
  <c r="F1254" i="2"/>
  <c r="J1253" i="2"/>
  <c r="I1253" i="2"/>
  <c r="G1253" i="2"/>
  <c r="H1252" i="2"/>
  <c r="F1252" i="2"/>
  <c r="H1251" i="2"/>
  <c r="F1251" i="2"/>
  <c r="H1250" i="2"/>
  <c r="F1250" i="2"/>
  <c r="H1249" i="2"/>
  <c r="F1249" i="2"/>
  <c r="J1248" i="2"/>
  <c r="H1248" i="2"/>
  <c r="G1248" i="2"/>
  <c r="I1247" i="2"/>
  <c r="I1248" i="2" s="1"/>
  <c r="F1247" i="2"/>
  <c r="J1246" i="2"/>
  <c r="G1246" i="2"/>
  <c r="H1245" i="2"/>
  <c r="H1246" i="2" s="1"/>
  <c r="F1245" i="2"/>
  <c r="I1244" i="2"/>
  <c r="I1246" i="2" s="1"/>
  <c r="F1244" i="2"/>
  <c r="J1243" i="2"/>
  <c r="I1243" i="2"/>
  <c r="H1243" i="2"/>
  <c r="H1242" i="2"/>
  <c r="F1242" i="2"/>
  <c r="G1241" i="2"/>
  <c r="G1243" i="2" s="1"/>
  <c r="F1241" i="2"/>
  <c r="J1240" i="2"/>
  <c r="H1240" i="2"/>
  <c r="G1240" i="2"/>
  <c r="I1239" i="2"/>
  <c r="I1240" i="2" s="1"/>
  <c r="F1239" i="2"/>
  <c r="J1238" i="2"/>
  <c r="H1238" i="2"/>
  <c r="G1238" i="2"/>
  <c r="I1237" i="2"/>
  <c r="I1238" i="2" s="1"/>
  <c r="F1237" i="2"/>
  <c r="J1236" i="2"/>
  <c r="I1236" i="2"/>
  <c r="H1235" i="2"/>
  <c r="H1236" i="2" s="1"/>
  <c r="F1235" i="2"/>
  <c r="G1234" i="2"/>
  <c r="G1236" i="2" s="1"/>
  <c r="F1234" i="2"/>
  <c r="J1233" i="2"/>
  <c r="H1233" i="2"/>
  <c r="G1233" i="2"/>
  <c r="I1232" i="2"/>
  <c r="I1233" i="2" s="1"/>
  <c r="F1232" i="2"/>
  <c r="J1231" i="2"/>
  <c r="I1231" i="2"/>
  <c r="G1231" i="2"/>
  <c r="H1230" i="2"/>
  <c r="H1231" i="2" s="1"/>
  <c r="F1230" i="2"/>
  <c r="J1229" i="2"/>
  <c r="I1229" i="2"/>
  <c r="H1228" i="2"/>
  <c r="H1229" i="2" s="1"/>
  <c r="G1228" i="2"/>
  <c r="F1228" i="2"/>
  <c r="G1227" i="2"/>
  <c r="F1227" i="2"/>
  <c r="G1226" i="2"/>
  <c r="F1226" i="2"/>
  <c r="G1225" i="2"/>
  <c r="F1225" i="2"/>
  <c r="J1224" i="2"/>
  <c r="H1224" i="2"/>
  <c r="G1224" i="2"/>
  <c r="I1223" i="2"/>
  <c r="I1224" i="2" s="1"/>
  <c r="F1223" i="2"/>
  <c r="J1222" i="2"/>
  <c r="I1222" i="2"/>
  <c r="G1222" i="2"/>
  <c r="H1221" i="2"/>
  <c r="H1222" i="2" s="1"/>
  <c r="F1221" i="2"/>
  <c r="J1220" i="2"/>
  <c r="G1220" i="2"/>
  <c r="I1219" i="2"/>
  <c r="I1220" i="2" s="1"/>
  <c r="H1219" i="2"/>
  <c r="H1220" i="2" s="1"/>
  <c r="F1219" i="2"/>
  <c r="J1218" i="2"/>
  <c r="H1218" i="2"/>
  <c r="G1218" i="2"/>
  <c r="I1217" i="2"/>
  <c r="I1218" i="2" s="1"/>
  <c r="F1217" i="2"/>
  <c r="J1216" i="2"/>
  <c r="I1216" i="2"/>
  <c r="G1216" i="2"/>
  <c r="H1215" i="2"/>
  <c r="H1216" i="2" s="1"/>
  <c r="F1215" i="2"/>
  <c r="J1214" i="2"/>
  <c r="H1214" i="2"/>
  <c r="G1214" i="2"/>
  <c r="I1213" i="2"/>
  <c r="I1214" i="2" s="1"/>
  <c r="F1213" i="2"/>
  <c r="J1212" i="2"/>
  <c r="G1212" i="2"/>
  <c r="H1211" i="2"/>
  <c r="H1212" i="2" s="1"/>
  <c r="F1211" i="2"/>
  <c r="I1210" i="2"/>
  <c r="I1212" i="2" s="1"/>
  <c r="F1210" i="2"/>
  <c r="J1209" i="2"/>
  <c r="I1209" i="2"/>
  <c r="G1208" i="2"/>
  <c r="F1208" i="2"/>
  <c r="G1207" i="2"/>
  <c r="F1207" i="2"/>
  <c r="G1206" i="2"/>
  <c r="F1206" i="2"/>
  <c r="G1205" i="2"/>
  <c r="F1205" i="2"/>
  <c r="G1204" i="2"/>
  <c r="F1204" i="2"/>
  <c r="H1203" i="2"/>
  <c r="F1203" i="2"/>
  <c r="H1202" i="2"/>
  <c r="F1202" i="2"/>
  <c r="H1201" i="2"/>
  <c r="F1201" i="2"/>
  <c r="H1200" i="2"/>
  <c r="F1200" i="2"/>
  <c r="H1199" i="2"/>
  <c r="F1199" i="2"/>
  <c r="H1198" i="2"/>
  <c r="F1198" i="2"/>
  <c r="H1197" i="2"/>
  <c r="F1197" i="2"/>
  <c r="H1196" i="2"/>
  <c r="F1196" i="2"/>
  <c r="J1195" i="2"/>
  <c r="H1195" i="2"/>
  <c r="G1195" i="2"/>
  <c r="I1194" i="2"/>
  <c r="I1195" i="2" s="1"/>
  <c r="F1194" i="2"/>
  <c r="J1193" i="2"/>
  <c r="I1192" i="2"/>
  <c r="I1193" i="2" s="1"/>
  <c r="H1192" i="2"/>
  <c r="F1192" i="2"/>
  <c r="H1191" i="2"/>
  <c r="F1191" i="2"/>
  <c r="H1190" i="2"/>
  <c r="F1190" i="2"/>
  <c r="H1189" i="2"/>
  <c r="F1189" i="2"/>
  <c r="G1188" i="2"/>
  <c r="F1188" i="2"/>
  <c r="G1187" i="2"/>
  <c r="F1187" i="2"/>
  <c r="G1186" i="2"/>
  <c r="F1186" i="2"/>
  <c r="J1185" i="2"/>
  <c r="H1185" i="2"/>
  <c r="G1185" i="2"/>
  <c r="I1184" i="2"/>
  <c r="F1184" i="2"/>
  <c r="I1183" i="2"/>
  <c r="F1183" i="2"/>
  <c r="J1182" i="2"/>
  <c r="I1182" i="2"/>
  <c r="G1182" i="2"/>
  <c r="H1181" i="2"/>
  <c r="F1181" i="2"/>
  <c r="H1180" i="2"/>
  <c r="F1180" i="2"/>
  <c r="J1179" i="2"/>
  <c r="I1179" i="2"/>
  <c r="H1179" i="2"/>
  <c r="G1178" i="2"/>
  <c r="G1179" i="2" s="1"/>
  <c r="F1178" i="2"/>
  <c r="J1177" i="2"/>
  <c r="H1177" i="2"/>
  <c r="G1177" i="2"/>
  <c r="I1176" i="2"/>
  <c r="I1177" i="2" s="1"/>
  <c r="F1176" i="2"/>
  <c r="J1175" i="2"/>
  <c r="H1175" i="2"/>
  <c r="G1175" i="2"/>
  <c r="I1174" i="2"/>
  <c r="F1174" i="2"/>
  <c r="I1173" i="2"/>
  <c r="F1173" i="2"/>
  <c r="J1172" i="2"/>
  <c r="I1172" i="2"/>
  <c r="H1171" i="2"/>
  <c r="F1171" i="2"/>
  <c r="G1170" i="2"/>
  <c r="G1172" i="2" s="1"/>
  <c r="F1170" i="2"/>
  <c r="H1169" i="2"/>
  <c r="F1169" i="2"/>
  <c r="H1168" i="2"/>
  <c r="F1168" i="2"/>
  <c r="J1167" i="2"/>
  <c r="H1167" i="2"/>
  <c r="G1167" i="2"/>
  <c r="I1166" i="2"/>
  <c r="I1167" i="2" s="1"/>
  <c r="F1166" i="2"/>
  <c r="J1165" i="2"/>
  <c r="G1165" i="2"/>
  <c r="I1164" i="2"/>
  <c r="I1165" i="2" s="1"/>
  <c r="F1164" i="2"/>
  <c r="H1163" i="2"/>
  <c r="H1165" i="2" s="1"/>
  <c r="F1163" i="2"/>
  <c r="J1162" i="2"/>
  <c r="I1162" i="2"/>
  <c r="H1161" i="2"/>
  <c r="H1162" i="2" s="1"/>
  <c r="F1161" i="2"/>
  <c r="G1160" i="2"/>
  <c r="G1162" i="2" s="1"/>
  <c r="F1160" i="2"/>
  <c r="J1159" i="2"/>
  <c r="H1159" i="2"/>
  <c r="G1159" i="2"/>
  <c r="I1158" i="2"/>
  <c r="I1159" i="2" s="1"/>
  <c r="F1158" i="2"/>
  <c r="J1157" i="2"/>
  <c r="H1156" i="2"/>
  <c r="F1156" i="2"/>
  <c r="I1155" i="2"/>
  <c r="I1157" i="2" s="1"/>
  <c r="H1155" i="2"/>
  <c r="F1155" i="2"/>
  <c r="G1154" i="2"/>
  <c r="G1157" i="2" s="1"/>
  <c r="F1154" i="2"/>
  <c r="J1153" i="2"/>
  <c r="H1153" i="2"/>
  <c r="G1153" i="2"/>
  <c r="I1152" i="2"/>
  <c r="I1153" i="2" s="1"/>
  <c r="F1152" i="2"/>
  <c r="J1151" i="2"/>
  <c r="I1151" i="2"/>
  <c r="G1151" i="2"/>
  <c r="H1150" i="2"/>
  <c r="H1151" i="2" s="1"/>
  <c r="F1150" i="2"/>
  <c r="J1149" i="2"/>
  <c r="I1149" i="2"/>
  <c r="G1148" i="2"/>
  <c r="F1148" i="2"/>
  <c r="G1147" i="2"/>
  <c r="G1149" i="2" s="1"/>
  <c r="F1147" i="2"/>
  <c r="H1146" i="2"/>
  <c r="F1146" i="2"/>
  <c r="H1145" i="2"/>
  <c r="F1145" i="2"/>
  <c r="H1144" i="2"/>
  <c r="F1144" i="2"/>
  <c r="J1143" i="2"/>
  <c r="H1143" i="2"/>
  <c r="G1143" i="2"/>
  <c r="I1142" i="2"/>
  <c r="I1143" i="2" s="1"/>
  <c r="F1142" i="2"/>
  <c r="J1141" i="2"/>
  <c r="G1141" i="2"/>
  <c r="H1140" i="2"/>
  <c r="H1141" i="2" s="1"/>
  <c r="F1140" i="2"/>
  <c r="I1139" i="2"/>
  <c r="I1141" i="2" s="1"/>
  <c r="F1139" i="2"/>
  <c r="J1138" i="2"/>
  <c r="I1138" i="2"/>
  <c r="G1138" i="2"/>
  <c r="G1137" i="2"/>
  <c r="F1137" i="2"/>
  <c r="H1136" i="2"/>
  <c r="H1138" i="2" s="1"/>
  <c r="F1136" i="2"/>
  <c r="J1135" i="2"/>
  <c r="I1135" i="2"/>
  <c r="H1135" i="2"/>
  <c r="G1135" i="2"/>
  <c r="I1134" i="2"/>
  <c r="F1134" i="2"/>
  <c r="J1133" i="2"/>
  <c r="I1133" i="2"/>
  <c r="G1133" i="2"/>
  <c r="H1132" i="2"/>
  <c r="H1133" i="2" s="1"/>
  <c r="F1132" i="2"/>
  <c r="J1131" i="2"/>
  <c r="I1131" i="2"/>
  <c r="H1131" i="2"/>
  <c r="G1130" i="2"/>
  <c r="F1130" i="2"/>
  <c r="G1129" i="2"/>
  <c r="F1129" i="2"/>
  <c r="J1128" i="2"/>
  <c r="H1128" i="2"/>
  <c r="G1128" i="2"/>
  <c r="I1127" i="2"/>
  <c r="I1128" i="2" s="1"/>
  <c r="F1127" i="2"/>
  <c r="J1126" i="2"/>
  <c r="G1126" i="2"/>
  <c r="I1125" i="2"/>
  <c r="F1125" i="2"/>
  <c r="I1124" i="2"/>
  <c r="F1124" i="2"/>
  <c r="I1123" i="2"/>
  <c r="F1123" i="2"/>
  <c r="H1122" i="2"/>
  <c r="H1126" i="2" s="1"/>
  <c r="F1122" i="2"/>
  <c r="J1121" i="2"/>
  <c r="I1120" i="2"/>
  <c r="I1121" i="2" s="1"/>
  <c r="H1120" i="2"/>
  <c r="F1120" i="2"/>
  <c r="H1119" i="2"/>
  <c r="F1119" i="2"/>
  <c r="H1118" i="2"/>
  <c r="F1118" i="2"/>
  <c r="H1117" i="2"/>
  <c r="F1117" i="2"/>
  <c r="A1117" i="2"/>
  <c r="A1118" i="2" s="1"/>
  <c r="A1119" i="2" s="1"/>
  <c r="A1120" i="2" s="1"/>
  <c r="A1122" i="2" s="1"/>
  <c r="A1123" i="2" s="1"/>
  <c r="A1124" i="2" s="1"/>
  <c r="A1125" i="2" s="1"/>
  <c r="G1116" i="2"/>
  <c r="G1121" i="2" s="1"/>
  <c r="F1116" i="2"/>
  <c r="H1115" i="2"/>
  <c r="I1114" i="2"/>
  <c r="F1114" i="2"/>
  <c r="G1113" i="2"/>
  <c r="G1115" i="2" s="1"/>
  <c r="H1112" i="2"/>
  <c r="F1112" i="2"/>
  <c r="I1111" i="2"/>
  <c r="I1113" i="2" s="1"/>
  <c r="H1111" i="2"/>
  <c r="G1110" i="2"/>
  <c r="F1110" i="2"/>
  <c r="G1109" i="2"/>
  <c r="F1109" i="2"/>
  <c r="H1108" i="2"/>
  <c r="I1107" i="2"/>
  <c r="F1107" i="2"/>
  <c r="I1106" i="2"/>
  <c r="F1106" i="2"/>
  <c r="G1105" i="2"/>
  <c r="G1108" i="2" s="1"/>
  <c r="H1104" i="2"/>
  <c r="F1104" i="2"/>
  <c r="H1103" i="2"/>
  <c r="H1105" i="2" s="1"/>
  <c r="F1103" i="2"/>
  <c r="J1102" i="2"/>
  <c r="J1105" i="2" s="1"/>
  <c r="I1102" i="2"/>
  <c r="I1105" i="2" s="1"/>
  <c r="H1102" i="2"/>
  <c r="G1102" i="2"/>
  <c r="G1101" i="2"/>
  <c r="F1101" i="2"/>
  <c r="J1100" i="2"/>
  <c r="G1099" i="2"/>
  <c r="F1099" i="2"/>
  <c r="I1098" i="2"/>
  <c r="H1098" i="2"/>
  <c r="F1098" i="2"/>
  <c r="I1097" i="2"/>
  <c r="H1097" i="2"/>
  <c r="F1097" i="2"/>
  <c r="I1096" i="2"/>
  <c r="I1100" i="2" s="1"/>
  <c r="H1096" i="2"/>
  <c r="F1096" i="2"/>
  <c r="G1095" i="2"/>
  <c r="F1095" i="2"/>
  <c r="G1094" i="2"/>
  <c r="F1094" i="2"/>
  <c r="G1093" i="2"/>
  <c r="F1093" i="2"/>
  <c r="A1093" i="2"/>
  <c r="A1094" i="2" s="1"/>
  <c r="A1095" i="2" s="1"/>
  <c r="A1096" i="2" s="1"/>
  <c r="A1097" i="2" s="1"/>
  <c r="A1098" i="2" s="1"/>
  <c r="A1099" i="2" s="1"/>
  <c r="G1092" i="2"/>
  <c r="F1092" i="2"/>
  <c r="J1091" i="2"/>
  <c r="H1091" i="2"/>
  <c r="G1091" i="2"/>
  <c r="I1090" i="2"/>
  <c r="I1091" i="2" s="1"/>
  <c r="F1090" i="2"/>
  <c r="J1089" i="2"/>
  <c r="H1089" i="2"/>
  <c r="G1089" i="2"/>
  <c r="I1088" i="2"/>
  <c r="I1089" i="2" s="1"/>
  <c r="H1088" i="2"/>
  <c r="F1088" i="2"/>
  <c r="J1087" i="2"/>
  <c r="H1087" i="2"/>
  <c r="G1087" i="2"/>
  <c r="I1086" i="2"/>
  <c r="I1087" i="2" s="1"/>
  <c r="F1086" i="2"/>
  <c r="J1085" i="2"/>
  <c r="I1085" i="2"/>
  <c r="G1085" i="2"/>
  <c r="H1084" i="2"/>
  <c r="H1085" i="2" s="1"/>
  <c r="F1084" i="2"/>
  <c r="J1083" i="2"/>
  <c r="I1083" i="2"/>
  <c r="H1083" i="2"/>
  <c r="G1082" i="2"/>
  <c r="G1083" i="2" s="1"/>
  <c r="F1082" i="2"/>
  <c r="J1081" i="2"/>
  <c r="H1081" i="2"/>
  <c r="G1081" i="2"/>
  <c r="I1080" i="2"/>
  <c r="I1081" i="2" s="1"/>
  <c r="F1080" i="2"/>
  <c r="J1079" i="2"/>
  <c r="I1079" i="2"/>
  <c r="G1079" i="2"/>
  <c r="H1078" i="2"/>
  <c r="H1079" i="2" s="1"/>
  <c r="F1078" i="2"/>
  <c r="J1077" i="2"/>
  <c r="I1077" i="2"/>
  <c r="H1077" i="2"/>
  <c r="G1076" i="2"/>
  <c r="G1077" i="2" s="1"/>
  <c r="F1076" i="2"/>
  <c r="J1075" i="2"/>
  <c r="H1075" i="2"/>
  <c r="G1075" i="2"/>
  <c r="I1074" i="2"/>
  <c r="I1075" i="2" s="1"/>
  <c r="F1074" i="2"/>
  <c r="J1073" i="2"/>
  <c r="I1073" i="2"/>
  <c r="G1073" i="2"/>
  <c r="H1072" i="2"/>
  <c r="H1073" i="2" s="1"/>
  <c r="F1072" i="2"/>
  <c r="J1071" i="2"/>
  <c r="H1071" i="2"/>
  <c r="G1071" i="2"/>
  <c r="I1070" i="2"/>
  <c r="I1071" i="2" s="1"/>
  <c r="F1070" i="2"/>
  <c r="J1069" i="2"/>
  <c r="I1069" i="2"/>
  <c r="G1069" i="2"/>
  <c r="H1068" i="2"/>
  <c r="H1069" i="2" s="1"/>
  <c r="F1068" i="2"/>
  <c r="J1067" i="2"/>
  <c r="I1067" i="2"/>
  <c r="H1067" i="2"/>
  <c r="G1066" i="2"/>
  <c r="F1066" i="2"/>
  <c r="G1065" i="2"/>
  <c r="F1065" i="2"/>
  <c r="J1064" i="2"/>
  <c r="H1064" i="2"/>
  <c r="G1064" i="2"/>
  <c r="I1063" i="2"/>
  <c r="I1064" i="2" s="1"/>
  <c r="F1063" i="2"/>
  <c r="J1062" i="2"/>
  <c r="I1062" i="2"/>
  <c r="H1061" i="2"/>
  <c r="F1061" i="2"/>
  <c r="G1060" i="2"/>
  <c r="F1060" i="2"/>
  <c r="G1059" i="2"/>
  <c r="F1059" i="2"/>
  <c r="H1058" i="2"/>
  <c r="G1058" i="2"/>
  <c r="F1058" i="2"/>
  <c r="H1057" i="2"/>
  <c r="G1057" i="2"/>
  <c r="F1057" i="2"/>
  <c r="J1056" i="2"/>
  <c r="H1056" i="2"/>
  <c r="G1056" i="2"/>
  <c r="I1055" i="2"/>
  <c r="I1056" i="2" s="1"/>
  <c r="F1055" i="2"/>
  <c r="J1054" i="2"/>
  <c r="I1054" i="2"/>
  <c r="G1054" i="2"/>
  <c r="H1053" i="2"/>
  <c r="F1053" i="2"/>
  <c r="J1052" i="2"/>
  <c r="I1052" i="2"/>
  <c r="H1052" i="2"/>
  <c r="G1051" i="2"/>
  <c r="F1051" i="2"/>
  <c r="G1050" i="2"/>
  <c r="F1050" i="2"/>
  <c r="J1049" i="2"/>
  <c r="H1049" i="2"/>
  <c r="G1049" i="2"/>
  <c r="I1048" i="2"/>
  <c r="I1049" i="2" s="1"/>
  <c r="F1048" i="2"/>
  <c r="J1047" i="2"/>
  <c r="I1047" i="2"/>
  <c r="G1047" i="2"/>
  <c r="H1046" i="2"/>
  <c r="H1047" i="2" s="1"/>
  <c r="F1046" i="2"/>
  <c r="J1045" i="2"/>
  <c r="I1045" i="2"/>
  <c r="H1045" i="2"/>
  <c r="G1044" i="2"/>
  <c r="F1044" i="2"/>
  <c r="G1043" i="2"/>
  <c r="F1043" i="2"/>
  <c r="G1042" i="2"/>
  <c r="F1042" i="2"/>
  <c r="G1041" i="2"/>
  <c r="F1041" i="2"/>
  <c r="G1040" i="2"/>
  <c r="F1040" i="2"/>
  <c r="J1039" i="2"/>
  <c r="G1038" i="2"/>
  <c r="F1038" i="2"/>
  <c r="I1037" i="2"/>
  <c r="I1039" i="2" s="1"/>
  <c r="H1037" i="2"/>
  <c r="H1039" i="2" s="1"/>
  <c r="F1037" i="2"/>
  <c r="G1036" i="2"/>
  <c r="F1036" i="2"/>
  <c r="G1035" i="2"/>
  <c r="F1035" i="2"/>
  <c r="G1034" i="2"/>
  <c r="F1034" i="2"/>
  <c r="G1033" i="2"/>
  <c r="F1033" i="2"/>
  <c r="A1033" i="2"/>
  <c r="A1034" i="2" s="1"/>
  <c r="A1035" i="2" s="1"/>
  <c r="A1036" i="2" s="1"/>
  <c r="A1037" i="2" s="1"/>
  <c r="A1038" i="2" s="1"/>
  <c r="G1032" i="2"/>
  <c r="F1032" i="2"/>
  <c r="F1105" i="2" l="1"/>
  <c r="H1062" i="2"/>
  <c r="I1126" i="2"/>
  <c r="F1138" i="2"/>
  <c r="I1326" i="2"/>
  <c r="G1052" i="2"/>
  <c r="F1052" i="2" s="1"/>
  <c r="I1185" i="2"/>
  <c r="F1185" i="2" s="1"/>
  <c r="G1320" i="2"/>
  <c r="F1320" i="2" s="1"/>
  <c r="F1195" i="2"/>
  <c r="G1304" i="2"/>
  <c r="F1039" i="2"/>
  <c r="F1126" i="2"/>
  <c r="F1177" i="2"/>
  <c r="F1214" i="2"/>
  <c r="F1064" i="2"/>
  <c r="G1100" i="2"/>
  <c r="H1259" i="2"/>
  <c r="F1259" i="2" s="1"/>
  <c r="G1039" i="2"/>
  <c r="G1062" i="2"/>
  <c r="F1062" i="2" s="1"/>
  <c r="H1100" i="2"/>
  <c r="F1108" i="2"/>
  <c r="I1115" i="2"/>
  <c r="H1149" i="2"/>
  <c r="F1149" i="2" s="1"/>
  <c r="H1304" i="2"/>
  <c r="I1371" i="2"/>
  <c r="F1371" i="2" s="1"/>
  <c r="F1153" i="2"/>
  <c r="F1243" i="2"/>
  <c r="F1049" i="2"/>
  <c r="G1067" i="2"/>
  <c r="F1067" i="2" s="1"/>
  <c r="F1179" i="2"/>
  <c r="F1294" i="2"/>
  <c r="F1326" i="2"/>
  <c r="G1111" i="2"/>
  <c r="G1131" i="2"/>
  <c r="F1131" i="2" s="1"/>
  <c r="G1374" i="2"/>
  <c r="F1400" i="2"/>
  <c r="F1222" i="2"/>
  <c r="F1083" i="2"/>
  <c r="F1102" i="2"/>
  <c r="F1238" i="2"/>
  <c r="G1361" i="2"/>
  <c r="F1361" i="2" s="1"/>
  <c r="G1045" i="2"/>
  <c r="F1045" i="2" s="1"/>
  <c r="F1087" i="2"/>
  <c r="I1352" i="2"/>
  <c r="F1352" i="2" s="1"/>
  <c r="H1366" i="2"/>
  <c r="F1366" i="2" s="1"/>
  <c r="F1128" i="2"/>
  <c r="G1229" i="2"/>
  <c r="F1075" i="2"/>
  <c r="F1085" i="2"/>
  <c r="I1285" i="2"/>
  <c r="F1285" i="2" s="1"/>
  <c r="F1056" i="2"/>
  <c r="H1121" i="2"/>
  <c r="H1157" i="2"/>
  <c r="F1157" i="2" s="1"/>
  <c r="I1175" i="2"/>
  <c r="F1175" i="2" s="1"/>
  <c r="I1316" i="2"/>
  <c r="F1316" i="2" s="1"/>
  <c r="G1385" i="2"/>
  <c r="F1073" i="2"/>
  <c r="F1081" i="2"/>
  <c r="F1220" i="2"/>
  <c r="F1275" i="2"/>
  <c r="G1470" i="2"/>
  <c r="F1224" i="2"/>
  <c r="H1270" i="2"/>
  <c r="G1331" i="2"/>
  <c r="F1331" i="2" s="1"/>
  <c r="F1335" i="2"/>
  <c r="H1340" i="2"/>
  <c r="F1079" i="2"/>
  <c r="H1172" i="2"/>
  <c r="F1172" i="2" s="1"/>
  <c r="H1182" i="2"/>
  <c r="F1182" i="2" s="1"/>
  <c r="F1218" i="2"/>
  <c r="F1231" i="2"/>
  <c r="I1264" i="2"/>
  <c r="F1264" i="2" s="1"/>
  <c r="H1348" i="2"/>
  <c r="F1348" i="2" s="1"/>
  <c r="F1091" i="2"/>
  <c r="I1108" i="2"/>
  <c r="F1212" i="2"/>
  <c r="F1233" i="2"/>
  <c r="F1240" i="2"/>
  <c r="H1253" i="2"/>
  <c r="F1253" i="2" s="1"/>
  <c r="G1290" i="2"/>
  <c r="F1290" i="2" s="1"/>
  <c r="F1342" i="2"/>
  <c r="H1378" i="2"/>
  <c r="F1378" i="2" s="1"/>
  <c r="F1167" i="2"/>
  <c r="H1054" i="2"/>
  <c r="F1054" i="2" s="1"/>
  <c r="H1113" i="2"/>
  <c r="F1135" i="2"/>
  <c r="H1209" i="2"/>
  <c r="H1280" i="2"/>
  <c r="F1280" i="2" s="1"/>
  <c r="I1340" i="2"/>
  <c r="F1354" i="2"/>
  <c r="F1077" i="2"/>
  <c r="G1270" i="2"/>
  <c r="I1313" i="2"/>
  <c r="F1313" i="2" s="1"/>
  <c r="I1382" i="2"/>
  <c r="F1382" i="2" s="1"/>
  <c r="F1229" i="2"/>
  <c r="F1047" i="2"/>
  <c r="F1069" i="2"/>
  <c r="F1089" i="2"/>
  <c r="F1121" i="2"/>
  <c r="F1133" i="2"/>
  <c r="F1143" i="2"/>
  <c r="F1162" i="2"/>
  <c r="G1193" i="2"/>
  <c r="H1193" i="2"/>
  <c r="G1209" i="2"/>
  <c r="F1248" i="2"/>
  <c r="F1292" i="2"/>
  <c r="F1374" i="2"/>
  <c r="F1385" i="2"/>
  <c r="J1111" i="2"/>
  <c r="J1113" i="2" s="1"/>
  <c r="J1115" i="2" s="1"/>
  <c r="J1108" i="2"/>
  <c r="F1333" i="2"/>
  <c r="F1151" i="2"/>
  <c r="F1165" i="2"/>
  <c r="F1236" i="2"/>
  <c r="F1071" i="2"/>
  <c r="F1273" i="2"/>
  <c r="F1357" i="2"/>
  <c r="F1216" i="2"/>
  <c r="F1141" i="2"/>
  <c r="F1159" i="2"/>
  <c r="F1246" i="2"/>
  <c r="F1322" i="2"/>
  <c r="J1471" i="2"/>
  <c r="F1193" i="2" l="1"/>
  <c r="F1270" i="2"/>
  <c r="F1304" i="2"/>
  <c r="F1340" i="2"/>
  <c r="F1115" i="2"/>
  <c r="F1209" i="2"/>
  <c r="F1100" i="2"/>
  <c r="F1111" i="2"/>
  <c r="F1113" i="2"/>
  <c r="J1472" i="2"/>
  <c r="J1473" i="2" l="1"/>
  <c r="J1474" i="2" l="1"/>
  <c r="J1475" i="2" l="1"/>
  <c r="J1476" i="2" l="1"/>
  <c r="J1477" i="2" s="1"/>
  <c r="J1478" i="2" l="1"/>
  <c r="J1479" i="2" s="1"/>
  <c r="J1480" i="2" l="1"/>
  <c r="J1481" i="2" l="1"/>
  <c r="J1482" i="2" l="1"/>
  <c r="J1483" i="2" s="1"/>
  <c r="J1484" i="2" s="1"/>
  <c r="J1485" i="2" l="1"/>
  <c r="J1486" i="2" l="1"/>
  <c r="J1487" i="2" l="1"/>
  <c r="J1488" i="2" l="1"/>
  <c r="J1489" i="2" l="1"/>
  <c r="J1490" i="2" l="1"/>
  <c r="J1491" i="2" l="1"/>
  <c r="J1492" i="2" l="1"/>
  <c r="J1493" i="2" l="1"/>
  <c r="J1494" i="2" l="1"/>
  <c r="J1495" i="2" l="1"/>
  <c r="J1496" i="2" l="1"/>
  <c r="J1497" i="2" s="1"/>
  <c r="J1498" i="2" l="1"/>
  <c r="J1499" i="2" s="1"/>
  <c r="J1500" i="2" l="1"/>
  <c r="J1501" i="2"/>
  <c r="J1502" i="2" l="1"/>
  <c r="J1503" i="2" l="1"/>
  <c r="J1504" i="2" s="1"/>
  <c r="J1505" i="2" l="1"/>
  <c r="J1506" i="2"/>
  <c r="J1507" i="2" l="1"/>
  <c r="J1508" i="2" l="1"/>
  <c r="J1509" i="2" l="1"/>
  <c r="J1510" i="2" l="1"/>
  <c r="J1511" i="2" l="1"/>
  <c r="J1512" i="2" l="1"/>
  <c r="J1513" i="2" s="1"/>
  <c r="J1514" i="2" l="1"/>
  <c r="J1515" i="2" l="1"/>
  <c r="J1516" i="2" l="1"/>
  <c r="J1517" i="2" l="1"/>
  <c r="J1518" i="2" l="1"/>
  <c r="J1519" i="2" s="1"/>
  <c r="H1031" i="2" l="1"/>
  <c r="I1031" i="2"/>
  <c r="J1031" i="2"/>
  <c r="F1031" i="2"/>
  <c r="G1027" i="2"/>
  <c r="G1031" i="2" s="1"/>
  <c r="G1019" i="2" l="1"/>
  <c r="H1019" i="2"/>
  <c r="I1019" i="2"/>
  <c r="F1019" i="2"/>
  <c r="G998" i="2"/>
  <c r="H998" i="2"/>
  <c r="I998" i="2"/>
  <c r="F998" i="2"/>
  <c r="G971" i="2"/>
  <c r="H971" i="2"/>
  <c r="I971" i="2"/>
  <c r="F971" i="2"/>
  <c r="G879" i="2"/>
  <c r="H879" i="2"/>
  <c r="I879" i="2"/>
  <c r="F860" i="2"/>
  <c r="G852" i="2"/>
  <c r="H852" i="2"/>
  <c r="I852" i="2"/>
  <c r="J852" i="2"/>
  <c r="F852" i="2"/>
  <c r="F815" i="2" l="1"/>
  <c r="F834" i="2" s="1"/>
  <c r="F799" i="2"/>
  <c r="F784" i="2"/>
  <c r="F768" i="2"/>
  <c r="F597" i="2" l="1"/>
  <c r="F593" i="2"/>
  <c r="F587" i="2"/>
  <c r="G582" i="2"/>
  <c r="H582" i="2"/>
  <c r="I582" i="2"/>
  <c r="F572" i="2"/>
  <c r="F582" i="2" s="1"/>
  <c r="G571" i="2"/>
  <c r="H571" i="2"/>
  <c r="I571" i="2"/>
  <c r="F564" i="2"/>
  <c r="F563" i="2"/>
  <c r="F562" i="2"/>
  <c r="F561" i="2"/>
  <c r="F558" i="2"/>
  <c r="F571" i="2" s="1"/>
  <c r="F557" i="2"/>
  <c r="G530" i="2"/>
  <c r="H530" i="2"/>
  <c r="I530" i="2"/>
  <c r="F530" i="2"/>
  <c r="G478" i="2"/>
  <c r="H478" i="2"/>
  <c r="I478" i="2"/>
  <c r="J478" i="2"/>
  <c r="F477" i="2"/>
  <c r="F474" i="2"/>
  <c r="F472" i="2"/>
  <c r="F464" i="2"/>
  <c r="F450" i="2"/>
  <c r="F449" i="2"/>
  <c r="F429" i="2"/>
  <c r="G428" i="2"/>
  <c r="H428" i="2"/>
  <c r="I428" i="2"/>
  <c r="F428" i="2"/>
  <c r="G410" i="2"/>
  <c r="H410" i="2"/>
  <c r="I410" i="2"/>
  <c r="F410" i="2"/>
  <c r="F390" i="2"/>
  <c r="F386" i="2"/>
  <c r="F378" i="2"/>
  <c r="F369" i="2"/>
  <c r="G357" i="2"/>
  <c r="H357" i="2"/>
  <c r="I357" i="2"/>
  <c r="F357" i="2"/>
  <c r="G335" i="2"/>
  <c r="H335" i="2"/>
  <c r="F335" i="2"/>
  <c r="F308" i="2"/>
  <c r="F299" i="2"/>
  <c r="F291" i="2"/>
  <c r="F282" i="2"/>
  <c r="G272" i="2"/>
  <c r="H272" i="2"/>
  <c r="I272" i="2"/>
  <c r="F264" i="2"/>
  <c r="F265" i="2"/>
  <c r="F263" i="2"/>
  <c r="F257" i="2"/>
  <c r="F258" i="2"/>
  <c r="F259" i="2"/>
  <c r="F260" i="2"/>
  <c r="F261" i="2"/>
  <c r="F262" i="2"/>
  <c r="F254" i="2"/>
  <c r="F255" i="2"/>
  <c r="F256" i="2"/>
  <c r="F253" i="2"/>
  <c r="F232" i="2"/>
  <c r="F229" i="2"/>
  <c r="G221" i="2"/>
  <c r="H221" i="2"/>
  <c r="F221" i="2"/>
  <c r="F211" i="2"/>
  <c r="F212" i="2" s="1"/>
  <c r="G207" i="2"/>
  <c r="H207" i="2"/>
  <c r="I207" i="2"/>
  <c r="F200" i="2"/>
  <c r="F201" i="2"/>
  <c r="F202" i="2"/>
  <c r="F203" i="2"/>
  <c r="F204" i="2"/>
  <c r="F205" i="2"/>
  <c r="F206" i="2"/>
  <c r="F199" i="2"/>
  <c r="F198" i="2"/>
  <c r="G192" i="2"/>
  <c r="H192" i="2"/>
  <c r="F192" i="2"/>
  <c r="F184" i="2"/>
  <c r="F178" i="2"/>
  <c r="F179" i="2"/>
  <c r="F177" i="2"/>
  <c r="F176" i="2"/>
  <c r="F171" i="2"/>
  <c r="G167" i="2"/>
  <c r="H167" i="2"/>
  <c r="I167" i="2"/>
  <c r="F165" i="2"/>
  <c r="F166" i="2"/>
  <c r="F164" i="2"/>
  <c r="F163" i="2"/>
  <c r="G157" i="2"/>
  <c r="H157" i="2"/>
  <c r="F157" i="2"/>
  <c r="F148" i="2"/>
  <c r="G145" i="2"/>
  <c r="H145" i="2"/>
  <c r="F143" i="2"/>
  <c r="F145" i="2" s="1"/>
  <c r="F142" i="2"/>
  <c r="G139" i="2"/>
  <c r="H139" i="2"/>
  <c r="F138" i="2"/>
  <c r="F137" i="2"/>
  <c r="G134" i="2"/>
  <c r="H134" i="2"/>
  <c r="I134" i="2"/>
  <c r="F133" i="2"/>
  <c r="F132" i="2"/>
  <c r="G131" i="2"/>
  <c r="H131" i="2"/>
  <c r="I131" i="2"/>
  <c r="F130" i="2"/>
  <c r="F129" i="2"/>
  <c r="F128" i="2"/>
  <c r="F127" i="2"/>
  <c r="F126" i="2"/>
  <c r="G123" i="2"/>
  <c r="H123" i="2"/>
  <c r="I123" i="2"/>
  <c r="F123" i="2"/>
  <c r="G117" i="2"/>
  <c r="H117" i="2"/>
  <c r="F117" i="2"/>
  <c r="F108" i="2"/>
  <c r="F103" i="2"/>
  <c r="F102" i="2"/>
  <c r="F101" i="2"/>
  <c r="F100" i="2"/>
  <c r="F99" i="2"/>
  <c r="G93" i="2"/>
  <c r="H93" i="2"/>
  <c r="F89" i="2"/>
  <c r="F88" i="2"/>
  <c r="F82" i="2"/>
  <c r="F1022" i="2"/>
  <c r="G1022" i="2"/>
  <c r="F93" i="2" l="1"/>
  <c r="F131" i="2"/>
  <c r="F167" i="2"/>
  <c r="F180" i="2"/>
  <c r="F478" i="2"/>
  <c r="F272" i="2"/>
  <c r="F207" i="2"/>
  <c r="F139" i="2"/>
  <c r="F134" i="2"/>
  <c r="F25" i="2"/>
  <c r="F29" i="2"/>
  <c r="F36" i="2"/>
  <c r="F61" i="2"/>
  <c r="F53" i="2"/>
  <c r="F44" i="2"/>
  <c r="G10" i="2"/>
  <c r="H10" i="2"/>
  <c r="I10" i="2"/>
  <c r="F9" i="2"/>
  <c r="F8" i="2"/>
  <c r="F37" i="2" l="1"/>
  <c r="F10" i="2"/>
  <c r="F62" i="2"/>
  <c r="I93" i="2" l="1"/>
  <c r="G82" i="2"/>
  <c r="H82" i="2"/>
  <c r="I82" i="2"/>
  <c r="G62" i="2"/>
  <c r="H62" i="2"/>
  <c r="I62" i="2"/>
  <c r="J62" i="2"/>
  <c r="H37" i="2" l="1"/>
  <c r="G37" i="2"/>
  <c r="I37" i="2"/>
  <c r="J37" i="2"/>
  <c r="G386" i="2" l="1"/>
  <c r="H386" i="2"/>
  <c r="I386" i="2"/>
  <c r="J386" i="2"/>
  <c r="G369" i="2"/>
  <c r="H369" i="2"/>
  <c r="I369" i="2"/>
  <c r="J369" i="2"/>
  <c r="G308" i="2"/>
  <c r="H308" i="2"/>
  <c r="I308" i="2"/>
  <c r="J308" i="2"/>
  <c r="G198" i="2"/>
  <c r="H198" i="2"/>
  <c r="I198" i="2"/>
  <c r="J198" i="2"/>
  <c r="I192" i="2"/>
  <c r="J192" i="2"/>
  <c r="G180" i="2"/>
  <c r="H180" i="2"/>
  <c r="I180" i="2"/>
  <c r="J180" i="2"/>
  <c r="J131" i="2"/>
  <c r="G126" i="2"/>
  <c r="H126" i="2"/>
  <c r="I126" i="2"/>
  <c r="J126" i="2"/>
  <c r="I117" i="2" l="1"/>
  <c r="J117" i="2"/>
  <c r="G108" i="2"/>
  <c r="H108" i="2"/>
  <c r="I108" i="2"/>
  <c r="J108" i="2"/>
  <c r="G104" i="2"/>
  <c r="H104" i="2"/>
  <c r="I104" i="2"/>
  <c r="J104" i="2"/>
  <c r="G98" i="2"/>
  <c r="H98" i="2"/>
  <c r="I98" i="2"/>
  <c r="J98" i="2"/>
  <c r="J93" i="2"/>
  <c r="J82" i="2"/>
  <c r="J1019" i="2" l="1"/>
  <c r="J998" i="2"/>
  <c r="J971" i="2"/>
  <c r="J900" i="2" l="1"/>
  <c r="I900" i="2"/>
  <c r="H900" i="2"/>
  <c r="G900" i="2"/>
  <c r="F899" i="2"/>
  <c r="F898" i="2"/>
  <c r="J897" i="2"/>
  <c r="I897" i="2"/>
  <c r="H897" i="2"/>
  <c r="G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J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900" i="2" l="1"/>
  <c r="F879" i="2"/>
  <c r="F897" i="2"/>
  <c r="I860" i="2"/>
  <c r="H860" i="2"/>
  <c r="G860" i="2"/>
  <c r="I834" i="2"/>
  <c r="H834" i="2"/>
  <c r="G834" i="2"/>
  <c r="J799" i="2" l="1"/>
  <c r="I799" i="2"/>
  <c r="H799" i="2"/>
  <c r="G799" i="2"/>
  <c r="J784" i="2"/>
  <c r="I784" i="2"/>
  <c r="H784" i="2"/>
  <c r="G784" i="2"/>
  <c r="J768" i="2"/>
  <c r="I768" i="2"/>
  <c r="H768" i="2"/>
  <c r="G768" i="2"/>
  <c r="J746" i="2" l="1"/>
  <c r="I746" i="2"/>
  <c r="H746" i="2"/>
  <c r="G746" i="2"/>
  <c r="F746" i="2"/>
  <c r="J744" i="2" l="1"/>
  <c r="H744" i="2"/>
  <c r="G744" i="2"/>
  <c r="I743" i="2"/>
  <c r="F743" i="2" s="1"/>
  <c r="I742" i="2"/>
  <c r="F742" i="2" s="1"/>
  <c r="I741" i="2"/>
  <c r="F741" i="2"/>
  <c r="I740" i="2"/>
  <c r="F740" i="2" s="1"/>
  <c r="I739" i="2"/>
  <c r="F739" i="2" s="1"/>
  <c r="I738" i="2"/>
  <c r="F738" i="2" s="1"/>
  <c r="I737" i="2"/>
  <c r="F737" i="2" s="1"/>
  <c r="I736" i="2"/>
  <c r="F736" i="2" s="1"/>
  <c r="I735" i="2"/>
  <c r="F735" i="2" s="1"/>
  <c r="I734" i="2"/>
  <c r="F734" i="2" s="1"/>
  <c r="I733" i="2"/>
  <c r="F733" i="2" s="1"/>
  <c r="I732" i="2"/>
  <c r="F732" i="2" s="1"/>
  <c r="I731" i="2"/>
  <c r="F731" i="2" s="1"/>
  <c r="I730" i="2"/>
  <c r="F730" i="2" s="1"/>
  <c r="I729" i="2"/>
  <c r="F729" i="2" s="1"/>
  <c r="I728" i="2"/>
  <c r="F728" i="2" s="1"/>
  <c r="I727" i="2"/>
  <c r="F727" i="2" s="1"/>
  <c r="I726" i="2"/>
  <c r="F726" i="2" s="1"/>
  <c r="J725" i="2"/>
  <c r="G725" i="2"/>
  <c r="I724" i="2"/>
  <c r="F724" i="2" s="1"/>
  <c r="I723" i="2"/>
  <c r="H723" i="2"/>
  <c r="F723" i="2" s="1"/>
  <c r="I722" i="2"/>
  <c r="F722" i="2" s="1"/>
  <c r="I721" i="2"/>
  <c r="F721" i="2" s="1"/>
  <c r="I720" i="2"/>
  <c r="F720" i="2" s="1"/>
  <c r="I719" i="2"/>
  <c r="F719" i="2" s="1"/>
  <c r="I718" i="2"/>
  <c r="F718" i="2" s="1"/>
  <c r="H717" i="2"/>
  <c r="F717" i="2" s="1"/>
  <c r="H716" i="2"/>
  <c r="F716" i="2" s="1"/>
  <c r="I715" i="2"/>
  <c r="F715" i="2" s="1"/>
  <c r="I714" i="2"/>
  <c r="F714" i="2" s="1"/>
  <c r="I713" i="2"/>
  <c r="F713" i="2" s="1"/>
  <c r="I712" i="2"/>
  <c r="F712" i="2" s="1"/>
  <c r="I711" i="2"/>
  <c r="F711" i="2" s="1"/>
  <c r="I710" i="2"/>
  <c r="F710" i="2" s="1"/>
  <c r="I709" i="2"/>
  <c r="F709" i="2" s="1"/>
  <c r="H708" i="2"/>
  <c r="F708" i="2" s="1"/>
  <c r="I707" i="2"/>
  <c r="F707" i="2" s="1"/>
  <c r="I706" i="2"/>
  <c r="F706" i="2" s="1"/>
  <c r="I705" i="2"/>
  <c r="F705" i="2" s="1"/>
  <c r="I704" i="2"/>
  <c r="H704" i="2"/>
  <c r="F704" i="2" s="1"/>
  <c r="H703" i="2"/>
  <c r="F703" i="2" s="1"/>
  <c r="I702" i="2"/>
  <c r="F702" i="2" s="1"/>
  <c r="I701" i="2"/>
  <c r="F701" i="2" s="1"/>
  <c r="I700" i="2"/>
  <c r="F700" i="2" s="1"/>
  <c r="H699" i="2"/>
  <c r="F699" i="2" s="1"/>
  <c r="I698" i="2"/>
  <c r="F698" i="2" s="1"/>
  <c r="I697" i="2"/>
  <c r="F697" i="2" s="1"/>
  <c r="H696" i="2"/>
  <c r="F696" i="2" s="1"/>
  <c r="H695" i="2"/>
  <c r="F695" i="2" s="1"/>
  <c r="H694" i="2"/>
  <c r="F694" i="2" s="1"/>
  <c r="H693" i="2"/>
  <c r="F693" i="2" s="1"/>
  <c r="H692" i="2"/>
  <c r="F692" i="2" s="1"/>
  <c r="H691" i="2"/>
  <c r="F691" i="2" s="1"/>
  <c r="H690" i="2"/>
  <c r="F690" i="2" s="1"/>
  <c r="H689" i="2"/>
  <c r="F689" i="2" s="1"/>
  <c r="H688" i="2"/>
  <c r="F688" i="2" s="1"/>
  <c r="H687" i="2"/>
  <c r="F687" i="2" s="1"/>
  <c r="H686" i="2"/>
  <c r="F686" i="2" s="1"/>
  <c r="H685" i="2"/>
  <c r="F685" i="2" s="1"/>
  <c r="H684" i="2"/>
  <c r="F684" i="2" s="1"/>
  <c r="J683" i="2"/>
  <c r="H682" i="2"/>
  <c r="G682" i="2"/>
  <c r="I681" i="2"/>
  <c r="H681" i="2"/>
  <c r="G680" i="2"/>
  <c r="F680" i="2" s="1"/>
  <c r="H679" i="2"/>
  <c r="G679" i="2"/>
  <c r="F679" i="2" s="1"/>
  <c r="I678" i="2"/>
  <c r="H678" i="2"/>
  <c r="I677" i="2"/>
  <c r="H677" i="2"/>
  <c r="F677" i="2" s="1"/>
  <c r="H676" i="2"/>
  <c r="F676" i="2" s="1"/>
  <c r="G675" i="2"/>
  <c r="F675" i="2" s="1"/>
  <c r="I674" i="2"/>
  <c r="H674" i="2"/>
  <c r="F674" i="2" s="1"/>
  <c r="G673" i="2"/>
  <c r="F673" i="2" s="1"/>
  <c r="G672" i="2"/>
  <c r="F672" i="2" s="1"/>
  <c r="I671" i="2"/>
  <c r="H671" i="2"/>
  <c r="F671" i="2" s="1"/>
  <c r="I670" i="2"/>
  <c r="H670" i="2"/>
  <c r="I669" i="2"/>
  <c r="H669" i="2"/>
  <c r="F669" i="2" s="1"/>
  <c r="I668" i="2"/>
  <c r="H668" i="2"/>
  <c r="I667" i="2"/>
  <c r="H667" i="2"/>
  <c r="F667" i="2" s="1"/>
  <c r="I666" i="2"/>
  <c r="H666" i="2"/>
  <c r="I665" i="2"/>
  <c r="H665" i="2"/>
  <c r="F665" i="2" s="1"/>
  <c r="H664" i="2"/>
  <c r="F664" i="2" s="1"/>
  <c r="G663" i="2"/>
  <c r="F663" i="2" s="1"/>
  <c r="I662" i="2"/>
  <c r="H662" i="2"/>
  <c r="F662" i="2" s="1"/>
  <c r="I661" i="2"/>
  <c r="H661" i="2"/>
  <c r="H660" i="2"/>
  <c r="G660" i="2"/>
  <c r="F660" i="2" s="1"/>
  <c r="I659" i="2"/>
  <c r="H659" i="2"/>
  <c r="G659" i="2"/>
  <c r="G658" i="2"/>
  <c r="F658" i="2" s="1"/>
  <c r="H657" i="2"/>
  <c r="F657" i="2" s="1"/>
  <c r="G656" i="2"/>
  <c r="F656" i="2" s="1"/>
  <c r="G655" i="2"/>
  <c r="F655" i="2" s="1"/>
  <c r="G654" i="2"/>
  <c r="F654" i="2" s="1"/>
  <c r="G653" i="2"/>
  <c r="F653" i="2" s="1"/>
  <c r="G652" i="2"/>
  <c r="F652" i="2" s="1"/>
  <c r="I651" i="2"/>
  <c r="H651" i="2"/>
  <c r="F651" i="2" s="1"/>
  <c r="H650" i="2"/>
  <c r="F650" i="2" s="1"/>
  <c r="G649" i="2"/>
  <c r="F649" i="2" s="1"/>
  <c r="I648" i="2"/>
  <c r="H648" i="2"/>
  <c r="F648" i="2" s="1"/>
  <c r="I647" i="2"/>
  <c r="H647" i="2"/>
  <c r="G646" i="2"/>
  <c r="F646" i="2" s="1"/>
  <c r="G645" i="2"/>
  <c r="F645" i="2" s="1"/>
  <c r="G644" i="2"/>
  <c r="F644" i="2" s="1"/>
  <c r="G643" i="2"/>
  <c r="F643" i="2" s="1"/>
  <c r="G642" i="2"/>
  <c r="F642" i="2" s="1"/>
  <c r="G641" i="2"/>
  <c r="F641" i="2" s="1"/>
  <c r="G640" i="2"/>
  <c r="F640" i="2" s="1"/>
  <c r="G639" i="2"/>
  <c r="F639" i="2" s="1"/>
  <c r="G638" i="2"/>
  <c r="F638" i="2" s="1"/>
  <c r="G637" i="2"/>
  <c r="F637" i="2" s="1"/>
  <c r="G636" i="2"/>
  <c r="F636" i="2" s="1"/>
  <c r="G635" i="2"/>
  <c r="F635" i="2" s="1"/>
  <c r="G634" i="2"/>
  <c r="F634" i="2" s="1"/>
  <c r="G633" i="2"/>
  <c r="F633" i="2" s="1"/>
  <c r="G632" i="2"/>
  <c r="F632" i="2" s="1"/>
  <c r="G631" i="2"/>
  <c r="F631" i="2" s="1"/>
  <c r="G630" i="2"/>
  <c r="F630" i="2" s="1"/>
  <c r="G629" i="2"/>
  <c r="F629" i="2" s="1"/>
  <c r="G628" i="2"/>
  <c r="F628" i="2" s="1"/>
  <c r="G627" i="2"/>
  <c r="F627" i="2" s="1"/>
  <c r="G626" i="2"/>
  <c r="F626" i="2" s="1"/>
  <c r="G625" i="2"/>
  <c r="F625" i="2" s="1"/>
  <c r="G624" i="2"/>
  <c r="F624" i="2" s="1"/>
  <c r="G623" i="2"/>
  <c r="F623" i="2" s="1"/>
  <c r="G622" i="2"/>
  <c r="F682" i="2" l="1"/>
  <c r="F668" i="2"/>
  <c r="F681" i="2"/>
  <c r="G683" i="2"/>
  <c r="F622" i="2"/>
  <c r="F659" i="2"/>
  <c r="F678" i="2"/>
  <c r="I683" i="2"/>
  <c r="F725" i="2"/>
  <c r="H683" i="2"/>
  <c r="F647" i="2"/>
  <c r="F661" i="2"/>
  <c r="F666" i="2"/>
  <c r="F670" i="2"/>
  <c r="H725" i="2"/>
  <c r="I725" i="2"/>
  <c r="I744" i="2"/>
  <c r="F744" i="2" s="1"/>
  <c r="F683" i="2" l="1"/>
  <c r="H621" i="2"/>
  <c r="G621" i="2"/>
  <c r="I620" i="2"/>
  <c r="F620" i="2" s="1"/>
  <c r="I619" i="2"/>
  <c r="F619" i="2"/>
  <c r="I618" i="2"/>
  <c r="F618" i="2" s="1"/>
  <c r="I616" i="2"/>
  <c r="F616" i="2" s="1"/>
  <c r="I615" i="2"/>
  <c r="F615" i="2" s="1"/>
  <c r="I614" i="2"/>
  <c r="F614" i="2" s="1"/>
  <c r="I611" i="2"/>
  <c r="F611" i="2" s="1"/>
  <c r="I610" i="2"/>
  <c r="F610" i="2" s="1"/>
  <c r="I609" i="2"/>
  <c r="F609" i="2" s="1"/>
  <c r="I607" i="2"/>
  <c r="H607" i="2"/>
  <c r="G607" i="2"/>
  <c r="F607" i="2"/>
  <c r="I601" i="2"/>
  <c r="H601" i="2"/>
  <c r="I600" i="2"/>
  <c r="H600" i="2"/>
  <c r="G600" i="2"/>
  <c r="F600" i="2" s="1"/>
  <c r="I599" i="2"/>
  <c r="H599" i="2"/>
  <c r="I598" i="2"/>
  <c r="H598" i="2"/>
  <c r="I596" i="2"/>
  <c r="H596" i="2"/>
  <c r="G596" i="2"/>
  <c r="F596" i="2" s="1"/>
  <c r="I595" i="2"/>
  <c r="H595" i="2"/>
  <c r="G595" i="2"/>
  <c r="I594" i="2"/>
  <c r="H594" i="2"/>
  <c r="G594" i="2"/>
  <c r="G592" i="2"/>
  <c r="F592" i="2" s="1"/>
  <c r="I591" i="2"/>
  <c r="H591" i="2"/>
  <c r="G591" i="2"/>
  <c r="I590" i="2"/>
  <c r="H590" i="2"/>
  <c r="G590" i="2"/>
  <c r="I589" i="2"/>
  <c r="H589" i="2"/>
  <c r="G589" i="2"/>
  <c r="F590" i="2" l="1"/>
  <c r="F598" i="2"/>
  <c r="G602" i="2"/>
  <c r="F589" i="2"/>
  <c r="F591" i="2"/>
  <c r="F621" i="2"/>
  <c r="H602" i="2"/>
  <c r="I602" i="2"/>
  <c r="F594" i="2"/>
  <c r="F601" i="2"/>
  <c r="F595" i="2"/>
  <c r="F599" i="2"/>
  <c r="I621" i="2"/>
  <c r="F602" i="2" l="1"/>
  <c r="J587" i="2"/>
  <c r="I587" i="2"/>
  <c r="H587" i="2"/>
  <c r="G587" i="2"/>
  <c r="J582" i="2"/>
  <c r="J571" i="2"/>
  <c r="J557" i="2" l="1"/>
  <c r="H557" i="2"/>
  <c r="G557" i="2"/>
  <c r="J530" i="2"/>
  <c r="I557" i="2" l="1"/>
  <c r="J428" i="2" l="1"/>
  <c r="J410" i="2"/>
  <c r="J390" i="2" l="1"/>
  <c r="H390" i="2"/>
  <c r="G390" i="2"/>
  <c r="I390" i="2"/>
  <c r="J378" i="2"/>
  <c r="I378" i="2"/>
  <c r="H378" i="2"/>
  <c r="G378" i="2"/>
  <c r="J357" i="2" l="1"/>
  <c r="J335" i="2"/>
  <c r="I335" i="2"/>
  <c r="J299" i="2" l="1"/>
  <c r="I299" i="2"/>
  <c r="H299" i="2"/>
  <c r="G299" i="2"/>
  <c r="J291" i="2"/>
  <c r="I291" i="2"/>
  <c r="H291" i="2"/>
  <c r="G291" i="2"/>
  <c r="J282" i="2" l="1"/>
  <c r="I282" i="2"/>
  <c r="H282" i="2"/>
  <c r="G282" i="2"/>
  <c r="J272" i="2"/>
  <c r="J232" i="2" l="1"/>
  <c r="I232" i="2"/>
  <c r="H232" i="2"/>
  <c r="G232" i="2"/>
  <c r="J229" i="2"/>
  <c r="I229" i="2"/>
  <c r="H229" i="2"/>
  <c r="G229" i="2"/>
  <c r="J221" i="2"/>
  <c r="I221" i="2"/>
  <c r="J212" i="2" l="1"/>
  <c r="I212" i="2"/>
  <c r="H212" i="2"/>
  <c r="G212" i="2"/>
  <c r="J207" i="2"/>
  <c r="J184" i="2" l="1"/>
  <c r="I184" i="2"/>
  <c r="H184" i="2"/>
  <c r="G184" i="2"/>
  <c r="J176" i="2" l="1"/>
  <c r="I176" i="2"/>
  <c r="H176" i="2"/>
  <c r="G176" i="2"/>
  <c r="J171" i="2"/>
  <c r="I171" i="2"/>
  <c r="H171" i="2"/>
  <c r="G171" i="2"/>
  <c r="J167" i="2" l="1"/>
  <c r="J163" i="2" l="1"/>
  <c r="H163" i="2"/>
  <c r="G163" i="2"/>
  <c r="A159" i="2"/>
  <c r="A160" i="2" s="1"/>
  <c r="A161" i="2" s="1"/>
  <c r="A162" i="2" s="1"/>
  <c r="J157" i="2"/>
  <c r="I157" i="2"/>
  <c r="A151" i="2"/>
  <c r="A152" i="2" s="1"/>
  <c r="A153" i="2" s="1"/>
  <c r="A154" i="2" s="1"/>
  <c r="A155" i="2" s="1"/>
  <c r="A156" i="2" s="1"/>
  <c r="I163" i="2" l="1"/>
  <c r="J148" i="2" l="1"/>
  <c r="I148" i="2"/>
  <c r="H148" i="2"/>
  <c r="G148" i="2"/>
  <c r="J145" i="2"/>
  <c r="I145" i="2"/>
  <c r="J142" i="2" l="1"/>
  <c r="I142" i="2"/>
  <c r="H142" i="2"/>
  <c r="G142" i="2"/>
  <c r="J139" i="2"/>
  <c r="I139" i="2"/>
  <c r="J136" i="2" l="1"/>
  <c r="H136" i="2"/>
  <c r="G136" i="2"/>
  <c r="I136" i="2"/>
  <c r="F136" i="2"/>
  <c r="J134" i="2"/>
  <c r="F104" i="2" l="1"/>
  <c r="F98" i="2" l="1"/>
</calcChain>
</file>

<file path=xl/sharedStrings.xml><?xml version="1.0" encoding="utf-8"?>
<sst xmlns="http://schemas.openxmlformats.org/spreadsheetml/2006/main" count="6675" uniqueCount="2724">
  <si>
    <t>№ п/п</t>
  </si>
  <si>
    <t>Объект закупки</t>
  </si>
  <si>
    <t>Предмет контракта</t>
  </si>
  <si>
    <t>Способ определения поставщика (подрядчика, исполнителя)</t>
  </si>
  <si>
    <t>Начальная (максимальная) цена контракта (тыс.руб)</t>
  </si>
  <si>
    <t>На текущий финансовый год</t>
  </si>
  <si>
    <t>На плановый период</t>
  </si>
  <si>
    <t>На первый год</t>
  </si>
  <si>
    <t>На второй год</t>
  </si>
  <si>
    <t>Последующие годы</t>
  </si>
  <si>
    <t>Планируемый срок начала осуществления закупки (месяц, год)</t>
  </si>
  <si>
    <t xml:space="preserve">Планируемые закупки товаров, работ, услуг у субъектов малого предпринимательства, социально ориентированных некоммерческих организаций  </t>
  </si>
  <si>
    <t>3</t>
  </si>
  <si>
    <t>4</t>
  </si>
  <si>
    <t>11</t>
  </si>
  <si>
    <t>5</t>
  </si>
  <si>
    <t>Планируемые платежи (тыс. рублей)</t>
  </si>
  <si>
    <t>Наименование  учреждения</t>
  </si>
  <si>
    <t>Запрос котировок в электронной форме</t>
  </si>
  <si>
    <t>Электронный аукцион</t>
  </si>
  <si>
    <t>ИКЗ плана-графика на 2026-2028гг</t>
  </si>
  <si>
    <t>Оказание услуг по изготовлению и трансляции видеороликов социальной рекламы на каналах телевизионного вещания</t>
  </si>
  <si>
    <t>263860202024986020100100070005911244</t>
  </si>
  <si>
    <t>Оказание услуг по прокату видеороликов социальной рекламы на наружных светодиодных экранах</t>
  </si>
  <si>
    <t>263860202024986020100100090007311244</t>
  </si>
  <si>
    <t>Поставка раскладушек</t>
  </si>
  <si>
    <t>263860202024986020100100080003109244</t>
  </si>
  <si>
    <t>Изготовление и поставка печатной продукции</t>
  </si>
  <si>
    <t>263860202024986020100100110001812244</t>
  </si>
  <si>
    <t>Поставка дозиметра</t>
  </si>
  <si>
    <t>263860202024986020100100100002651244</t>
  </si>
  <si>
    <t>Поставка предупреждающих знаков</t>
  </si>
  <si>
    <t>263860202024986020100100130002599244</t>
  </si>
  <si>
    <t>Оказание услуг по разработке топливно-энергетического баланса муниципального образования</t>
  </si>
  <si>
    <t>263860202024986020100100140007490244</t>
  </si>
  <si>
    <t>263860202024986020100100150003900244</t>
  </si>
  <si>
    <t>263860202024986020100100170005221323</t>
  </si>
  <si>
    <t>Оказание услуг по предоставлению мест для стоянки и хранению автотранспортных средств</t>
  </si>
  <si>
    <t>Рекультивация  нарушенных земель при размещении отходов IV-V класса опасности второй очереди муниципального полигона для захоронения твердых бытовых отходов города Сургута*</t>
  </si>
  <si>
    <t>263860202024986020100100320003900244</t>
  </si>
  <si>
    <t>263860202024986020100100180005819244</t>
  </si>
  <si>
    <t>Выполнение работ по изготовлению полиграфической (подарочной) продукции</t>
  </si>
  <si>
    <t>Рекультивация  загрязненных земельных участков*</t>
  </si>
  <si>
    <t>263860202024986020100100190009609244</t>
  </si>
  <si>
    <t>Выполнение работ по изготовлению сувенирной продукции</t>
  </si>
  <si>
    <t>263860202024986020100100200008230244</t>
  </si>
  <si>
    <t>Оказание услуг по организации конференций и выставок</t>
  </si>
  <si>
    <t>263860202024986020100100210006311244</t>
  </si>
  <si>
    <t>Оказание услуг по информационному сопровождению деятельности органов местного самоуправления в средствах массовой информации (Интернет-ресурсы)</t>
  </si>
  <si>
    <t>263860202024986020100100220005911244</t>
  </si>
  <si>
    <t>Оказание услуг по информационному сопровождению деятельности органов местного самоуправления в средствах массовой информации (телевидение)</t>
  </si>
  <si>
    <t>263860202024986020100100230005920244</t>
  </si>
  <si>
    <t>Оказание услуг по информационному сопровождению деятельности органов местного самоуправления в средствах массовой информации (радио)</t>
  </si>
  <si>
    <t>263860202024986020100100240001811244</t>
  </si>
  <si>
    <t>Оказание услуг по информационному сопровождению деятельности органов местного самоуправления в средствах массовой информации (печатные издания)</t>
  </si>
  <si>
    <t>263860202024986020100100250006020244</t>
  </si>
  <si>
    <t>Оказание услуг по производству и прокату видеороликов социальной рекламы</t>
  </si>
  <si>
    <t>263860202024986020100100260005610244</t>
  </si>
  <si>
    <t>Услуги по организации питания при проведении официальных мероприятий, организации приемов и обслуживании делегаций</t>
  </si>
  <si>
    <t>263860202024986020100100270003213244</t>
  </si>
  <si>
    <t>Изготовление протокольной атрибутики: награды</t>
  </si>
  <si>
    <t>263860202024986020100100280001512244</t>
  </si>
  <si>
    <t>Изготовление протокольной атрибутики: наградные папки</t>
  </si>
  <si>
    <t>263860202024986020100100290002229244</t>
  </si>
  <si>
    <t>Изготовление протокольной атрибутики: багетные рамки</t>
  </si>
  <si>
    <t>263860202024986020100100300000119244</t>
  </si>
  <si>
    <t>Поставка цветочных композиций</t>
  </si>
  <si>
    <t>263860202024986020100100310001629244</t>
  </si>
  <si>
    <t>Поставка наградной атрибутики</t>
  </si>
  <si>
    <t>263860202024986020100100020008621244</t>
  </si>
  <si>
    <t>Оказание услуг по проведению диспансеризации муниципальных служащих</t>
  </si>
  <si>
    <t>263860202024986020100100330008230244</t>
  </si>
  <si>
    <t>Оказание услуг по организации торговых выставок</t>
  </si>
  <si>
    <t>Оказание услуг по разработке топливно-энергетического баланса муниципального образования.</t>
  </si>
  <si>
    <t>273860202024986020100100320007490244</t>
  </si>
  <si>
    <t>273860202024986020100100540002599244</t>
  </si>
  <si>
    <t>273860202024986020100100530001812244</t>
  </si>
  <si>
    <t>273860202024986020100100520007311244</t>
  </si>
  <si>
    <t>273860202024986020100100510005911244</t>
  </si>
  <si>
    <t>273860202024986020100100440005819244</t>
  </si>
  <si>
    <t>273860202024986020100100430005221323</t>
  </si>
  <si>
    <t>273860202024986020100100370009609244</t>
  </si>
  <si>
    <t>273860202024986020100100380008230244</t>
  </si>
  <si>
    <t>273860202024986020100100450006311244</t>
  </si>
  <si>
    <t>273860202024986020100100470005911244</t>
  </si>
  <si>
    <t>273860202024986020100100480005920244</t>
  </si>
  <si>
    <t>273860202024986020100100500001811244</t>
  </si>
  <si>
    <t>273860202024986020100100550006020244</t>
  </si>
  <si>
    <t>Оказание услуг по производству и трансляции видеороликов социальной рекламы</t>
  </si>
  <si>
    <t>273860202024986020100100570005911244</t>
  </si>
  <si>
    <t>273860202024986020100100580005610244</t>
  </si>
  <si>
    <t>273860202024986020100100600003213244</t>
  </si>
  <si>
    <t>273860202024986020100100610001512244</t>
  </si>
  <si>
    <t>273860202024986020100100620002229244</t>
  </si>
  <si>
    <t>Оказание услуг по проведению специальной оценки условий труда</t>
  </si>
  <si>
    <t>273860202024986020100100420007120244</t>
  </si>
  <si>
    <t>273860202024986020100100400000119244</t>
  </si>
  <si>
    <t>273860202024986020100100390001629244</t>
  </si>
  <si>
    <t>273860202024986020100100360008621244</t>
  </si>
  <si>
    <t>273860202024986020100100560008230244</t>
  </si>
  <si>
    <t>283860202024986020100100230008230244</t>
  </si>
  <si>
    <t>283860202024986020100100090008621244</t>
  </si>
  <si>
    <t>283860202024986020100100150001629244</t>
  </si>
  <si>
    <t>283860202024986020100100120000119244</t>
  </si>
  <si>
    <t>283860202024986020100100180007120244</t>
  </si>
  <si>
    <t>283860202024986020100100260002229244</t>
  </si>
  <si>
    <t>283860202024986020100100280001512244</t>
  </si>
  <si>
    <t>283860202024986020100100270003213244</t>
  </si>
  <si>
    <t>283860202024986020100100250005610244</t>
  </si>
  <si>
    <t>283860202024986020100100240005911244</t>
  </si>
  <si>
    <t>283860202024986020100100220006020244</t>
  </si>
  <si>
    <t>283860202024986020100100210001811244</t>
  </si>
  <si>
    <t>283860202024986020100100200005920244</t>
  </si>
  <si>
    <t>283860202024986020100100190005911244</t>
  </si>
  <si>
    <t>283860202024986020100100170006311244</t>
  </si>
  <si>
    <t>283860202024986020100100110008230244</t>
  </si>
  <si>
    <t>283860202024986020100100100009609244</t>
  </si>
  <si>
    <t>283860202024986020100100160005819244</t>
  </si>
  <si>
    <t>283860202024986020100100060007490244</t>
  </si>
  <si>
    <t>Оказание услуг по информационному сопровождению деятельности органов местного самоуправления в средствах массовой информации (телевидение)*</t>
  </si>
  <si>
    <t>март 2026</t>
  </si>
  <si>
    <t>сентябрь 2026</t>
  </si>
  <si>
    <t>апрель 2026</t>
  </si>
  <si>
    <t>июнь 2026</t>
  </si>
  <si>
    <t>сентябрь 2027</t>
  </si>
  <si>
    <t>март 2027</t>
  </si>
  <si>
    <t>апрель 2027</t>
  </si>
  <si>
    <t>июнь 2027</t>
  </si>
  <si>
    <t>сентябрь 2028</t>
  </si>
  <si>
    <t>март 2028</t>
  </si>
  <si>
    <t>апрель 2028</t>
  </si>
  <si>
    <t>июнь 2028</t>
  </si>
  <si>
    <t>Администрация города Сургута</t>
  </si>
  <si>
    <t>Итого предусмотрено на осуществление закупок в текущем году по Администрации города Сургута:</t>
  </si>
  <si>
    <t>Итого предусмотрено на осуществление закупок на первый год планового периода по Администрации города Сургута:</t>
  </si>
  <si>
    <t>Итого предусмотрено на осуществление закупок на второй год планового периода по Администрации города Сургута:</t>
  </si>
  <si>
    <t>Поставка печатных изданий для комплектования книжных фондов</t>
  </si>
  <si>
    <t>Оказание охранных услуг</t>
  </si>
  <si>
    <t>Оказание услуг по уборке помещений и крылец в 2027 году</t>
  </si>
  <si>
    <t>апрель, 2026</t>
  </si>
  <si>
    <t>Оказание услуг по организации перевозок пассажиров и багажа легковым такси в 2027 году</t>
  </si>
  <si>
    <t>МБУК ЦБС</t>
  </si>
  <si>
    <t>263860200328286020100100090005811244</t>
  </si>
  <si>
    <t>февраль, 2026</t>
  </si>
  <si>
    <t>263860200260286020100100100005811244</t>
  </si>
  <si>
    <t>263860200260286020100100110005811244</t>
  </si>
  <si>
    <t>263860200260286020100100120005811244</t>
  </si>
  <si>
    <t>263860200260286020100100130005811244</t>
  </si>
  <si>
    <t>263860200260286020100100140008010244</t>
  </si>
  <si>
    <t>январь,2026</t>
  </si>
  <si>
    <t>263860200260286020100100160008010244</t>
  </si>
  <si>
    <t>263860200260286020100100170004932244</t>
  </si>
  <si>
    <t>263860200260286020100100180008010244</t>
  </si>
  <si>
    <t>263860200260286020100100190000000244</t>
  </si>
  <si>
    <t>273860200260286020100100020004932244</t>
  </si>
  <si>
    <t>Оказание услуг по организации перевозок пассажиров и багажа легковым такси в 2028 году</t>
  </si>
  <si>
    <t>февраль, 2027</t>
  </si>
  <si>
    <t>273860200260286020100100040008010244</t>
  </si>
  <si>
    <t>273860200260286020100100050008010244</t>
  </si>
  <si>
    <t>273860200260286020100100060000000244</t>
  </si>
  <si>
    <t>Оказание услуг по уборке помещений и крылец в 2028 году</t>
  </si>
  <si>
    <t>Итого предусмотрено на осуществление закупок в текущем году по МБУК "ЦБС"</t>
  </si>
  <si>
    <t>Итого предусмотрено на осуществление закупок на первый год планового периода по МБУК "ЦБС":</t>
  </si>
  <si>
    <t>МБУК "Сургутский краеведческий музей"</t>
  </si>
  <si>
    <t>263860201720786020100100140008121244</t>
  </si>
  <si>
    <t>Оказание услуг по уборке помещений</t>
  </si>
  <si>
    <t>февраль 2026</t>
  </si>
  <si>
    <t>263860201720786020100100150008010244</t>
  </si>
  <si>
    <t>263860201720786020100100180008121244</t>
  </si>
  <si>
    <t>263860201720786020100100170008010244</t>
  </si>
  <si>
    <t>263860201720786020100100160004932244</t>
  </si>
  <si>
    <t>Оказание услуг по организации перевозок пассажиров и багажа легковым такси</t>
  </si>
  <si>
    <t>273860201720786020100100030004932244</t>
  </si>
  <si>
    <t>273860201720786020100100040008010244</t>
  </si>
  <si>
    <t>273860201720786020100100050008121244</t>
  </si>
  <si>
    <t>Итого предусмотрено на осуществление закупок в текущем году по МБУК "СКМ":</t>
  </si>
  <si>
    <t>Итого предусмотрено на осуществление закупок на первый год планового периода по МБУК "СКМ":</t>
  </si>
  <si>
    <t>МБУ ИКЦ "Старый Сургут"</t>
  </si>
  <si>
    <t>263860200331786020100100170008010244</t>
  </si>
  <si>
    <t>263860200331786020100100180008129244</t>
  </si>
  <si>
    <t>Оказание услуг по механизированной уборке, вывозу снега на полигон</t>
  </si>
  <si>
    <t>263860200331786020100100190001712244</t>
  </si>
  <si>
    <t>Поставка бумаги</t>
  </si>
  <si>
    <t>263860200331786020100100200009329244</t>
  </si>
  <si>
    <t>Оказание услуг по созданию ледовых композиций на площадке фестиваля «ЗИМАРТ»</t>
  </si>
  <si>
    <t>март, 2026</t>
  </si>
  <si>
    <t>263860200331786020100100210003240244</t>
  </si>
  <si>
    <t>Поставка ростовых кукол</t>
  </si>
  <si>
    <t>263860200331786020100100250008129244</t>
  </si>
  <si>
    <t>Оказание услуг по механизированной уборке, вывозу снега на полигон на 2027 год</t>
  </si>
  <si>
    <t>июнь, 2026</t>
  </si>
  <si>
    <t>263860200331786020100100260008121244</t>
  </si>
  <si>
    <t>Оказание услуг по уборке помещений на 2027 год</t>
  </si>
  <si>
    <t>263860200331786020100100270008010244</t>
  </si>
  <si>
    <t>Оказание охранных услуг в 2027 году</t>
  </si>
  <si>
    <t>273860200331786020100100070009329244</t>
  </si>
  <si>
    <t>март, 2027</t>
  </si>
  <si>
    <t>273860200331786020100100080002640244</t>
  </si>
  <si>
    <t>Поставка звукового оборудования</t>
  </si>
  <si>
    <t>273860200331786020100100090008129244</t>
  </si>
  <si>
    <t>Оказание услуг по механизированной уборке, вывозу снега на полигон на 2028 год</t>
  </si>
  <si>
    <t>июнь, 2027</t>
  </si>
  <si>
    <t>273860200331786020100100100008121244</t>
  </si>
  <si>
    <t>Оказание услуг по уборке помещений на 2028 год</t>
  </si>
  <si>
    <t>273860200331786020100100110008010244</t>
  </si>
  <si>
    <t>Оказание охранных услуг в 2028 году</t>
  </si>
  <si>
    <t>283860200331786020100100020009329244</t>
  </si>
  <si>
    <t>март, 2028</t>
  </si>
  <si>
    <t>283860200331786020100100030002640244</t>
  </si>
  <si>
    <t>Итого предусмотрено на осуществление закупок в текущем году по МБУ ИКЦ "Старый Сургут":</t>
  </si>
  <si>
    <t>Итого предусмотрено на осуществление закупок на первый год планового периода по МБУ ИКЦ "Старый Сургут":</t>
  </si>
  <si>
    <t>Итого предусмотрено на осуществление закупок на второй год планового периода по МБУ ИКЦ "Старый Сургут":</t>
  </si>
  <si>
    <t>МБУДО "ДШИ № 1"</t>
  </si>
  <si>
    <t>263860200261086020100100180008010244</t>
  </si>
  <si>
    <t>263860200261086020100100190008121244</t>
  </si>
  <si>
    <t>июль, 2026</t>
  </si>
  <si>
    <t>273860200261086020100100020004932244</t>
  </si>
  <si>
    <t>январь, 2027</t>
  </si>
  <si>
    <t>Итого предусмотрено на осуществление закупок в текущем году по МБУДО "ДШИ № 1":</t>
  </si>
  <si>
    <t>Итого предусмотрено на осуществление закупок на первый год планового периода по МБУДО "ДШИ № 1":</t>
  </si>
  <si>
    <t>МБУДО "ДШИ №2"</t>
  </si>
  <si>
    <t>263860200319486020100100140008010244</t>
  </si>
  <si>
    <t>май 2026</t>
  </si>
  <si>
    <t>263860200319486020100100150008121244</t>
  </si>
  <si>
    <t>273860200319486020100100050008010244</t>
  </si>
  <si>
    <t>273860200319486020100100040008121244</t>
  </si>
  <si>
    <t>Итого предусмотрено на осуществление закупок в текущем году по МБУДО "ДШИ №2":</t>
  </si>
  <si>
    <t>Итого предусмотрено на осуществление закупок на первый год планового периода по МБУДО "ДШИ №2":</t>
  </si>
  <si>
    <t>МБУДО «ДХШ №1 им. Л.А. Горды»</t>
  </si>
  <si>
    <t>263860200366086020100100180008010000</t>
  </si>
  <si>
    <t>263860200366086020100100240008121244</t>
  </si>
  <si>
    <t>июль,2026</t>
  </si>
  <si>
    <t>273860200366086020100100140008010244</t>
  </si>
  <si>
    <t>июль, 2027</t>
  </si>
  <si>
    <t>273860200366086020100100120008121244</t>
  </si>
  <si>
    <t>Итого предусмотрено на осуществление закупок в текущем году МБУДО «ДХШ №1 им. Л.А. Горды»:</t>
  </si>
  <si>
    <t>Итого предусмотрено на осуществление закупок на первый год планового периода по МБУДО «ДХШ №1 им. Л.А. Горды»:</t>
  </si>
  <si>
    <t>МБУ ДО СШ "Аверс"</t>
  </si>
  <si>
    <t>263860200239186020100100260008010244</t>
  </si>
  <si>
    <t>Оказание услуг по охране объектов и (или) имущества в 2026 году</t>
  </si>
  <si>
    <t>Элекронный аукцион</t>
  </si>
  <si>
    <t xml:space="preserve">февраль 2026 </t>
  </si>
  <si>
    <t>263860200239186020100100270003313244</t>
  </si>
  <si>
    <t xml:space="preserve">Техническое обслуживание систем видеонаблюдения в 2026 году </t>
  </si>
  <si>
    <t>263860200239186020100100280008010244</t>
  </si>
  <si>
    <t>Оказание услуг по охране объектов и (или) имущества в 2027 году</t>
  </si>
  <si>
    <t xml:space="preserve">июль 2026 </t>
  </si>
  <si>
    <t>263860200239186020100100290003313244</t>
  </si>
  <si>
    <t xml:space="preserve">Техническое обслуживание систем видеонаблюдения в 2027 году </t>
  </si>
  <si>
    <t>263860200239186020100100300008129244</t>
  </si>
  <si>
    <t>Выполнение работ по зимнему содержанию территории (уборка и вывоз снега) в 2026-2027 году</t>
  </si>
  <si>
    <t>263860200239186020100100330008621244</t>
  </si>
  <si>
    <t xml:space="preserve">Оказание услуг по проведению периодических медицинских осмотров в 2027 году </t>
  </si>
  <si>
    <t>263860200239186020100100310008621244</t>
  </si>
  <si>
    <t>Оказание услуг по проведению медицинского осмотра по программе углубленного медицинского обследования (УМО) лиц, обучающихся спорту в 2027 году</t>
  </si>
  <si>
    <t>263860200239186020100100320008121244</t>
  </si>
  <si>
    <t>Оказание услуг по уборке помещений в 2027 году</t>
  </si>
  <si>
    <t>273860200239186020100100100008010244</t>
  </si>
  <si>
    <t>Оказание услуг по охране объектов и (или) имущества в 2028 году</t>
  </si>
  <si>
    <t>июль 2027</t>
  </si>
  <si>
    <t>273860200239186020100100110003313244</t>
  </si>
  <si>
    <t xml:space="preserve">Техническое обслуживание систем видеонаблюдения в 2028 году </t>
  </si>
  <si>
    <t>273860200239186020100100120008129244</t>
  </si>
  <si>
    <t xml:space="preserve">Выполнение работ по зимнему содержанию территории (уборка и вывоз снега) </t>
  </si>
  <si>
    <t>273860200239186020100100130008621244</t>
  </si>
  <si>
    <t xml:space="preserve">Оказание услуг по проведению периодических медицинских осмотров в 2028 году </t>
  </si>
  <si>
    <t>273860200239186020100100140008621244</t>
  </si>
  <si>
    <t>Оказание услуг по проведению медицинского осмотра по программе углубленного медицинского обследования (УМО) лиц, обучающихся спорту в 2028 году</t>
  </si>
  <si>
    <t>Итого предусмотрено на осуществление закупок в текущем году по МБУ ДО СШ "Аверс":</t>
  </si>
  <si>
    <t>Итого предусмотрено на осуществление закупок на первый год планового периода по МБУ ДО СШ "Аверс":</t>
  </si>
  <si>
    <t>МБУ ДО СШОР № 1</t>
  </si>
  <si>
    <t>263860200230686020100100120008010244</t>
  </si>
  <si>
    <t>263860200230686020100100130008129244</t>
  </si>
  <si>
    <t>Оказание услуг по механизированной очистке территории от снега с последующим его вывозом.</t>
  </si>
  <si>
    <t>январь, 2026</t>
  </si>
  <si>
    <t>263860200230686020100100060008621244</t>
  </si>
  <si>
    <t>Оказание услуг по проведению периодических медицинских осмотров работников в 2027-2028 году</t>
  </si>
  <si>
    <t>октябрь, 2026</t>
  </si>
  <si>
    <t>Итого предусмотрено на осуществление закупок в текущем году по МБУ ДО СШОР № 1:</t>
  </si>
  <si>
    <t>МБУ ДО СШОР "Югория"</t>
  </si>
  <si>
    <t>263860200245886020100100110008010244</t>
  </si>
  <si>
    <t>Июнь, 2026</t>
  </si>
  <si>
    <t>263860200245886020100100140008621244</t>
  </si>
  <si>
    <t>Август, 2026</t>
  </si>
  <si>
    <t>263860200245886020100100120008121244</t>
  </si>
  <si>
    <t>273860200245886020100100130008121244</t>
  </si>
  <si>
    <t>Июль, 2027</t>
  </si>
  <si>
    <t>273860200245886020100100140008621244</t>
  </si>
  <si>
    <t>Август, 2027</t>
  </si>
  <si>
    <t>273860200245886020100100150008129244</t>
  </si>
  <si>
    <t>Оказание услуг по механизированной уборке и вывозу снега</t>
  </si>
  <si>
    <t>273860200245886020100100160008010244</t>
  </si>
  <si>
    <t>Итого предусмотрено на осуществление закупок в текущем году по МБУ ДО СШОР "Югория":</t>
  </si>
  <si>
    <t>Итого предусмотрено на осуществление закупок на первый год планового периода по МБУ ДО СШОР "Югория":</t>
  </si>
  <si>
    <t>МБУ ДО СШОР "Ермак"</t>
  </si>
  <si>
    <t>263860200312386020100100020008010244</t>
  </si>
  <si>
    <t>октябрь 2026</t>
  </si>
  <si>
    <t>Итого предусмотрено на осуществление закупок в текущем году по МБУ ДО СШОР "Ермак":</t>
  </si>
  <si>
    <t>Итого предусмотрено на осуществление закупок на первый год планового периода по МБУ ДО СШОР "Ермак":</t>
  </si>
  <si>
    <t>МБУ ЦФП "Надежда"</t>
  </si>
  <si>
    <t>263860200328286020100100090008129244</t>
  </si>
  <si>
    <t>Выполнение работ по зимнему содержанию кортов (вывоз снега)</t>
  </si>
  <si>
    <t>263860200328286020100100100008129244</t>
  </si>
  <si>
    <t>Выполнение работ по зимнему содержанию кортов</t>
  </si>
  <si>
    <t>263860200328286020100100150008010244</t>
  </si>
  <si>
    <t>263860200328286020100100160003313244</t>
  </si>
  <si>
    <t>Оказание услуг по техническому обслуживанию системы видеонаблюдения</t>
  </si>
  <si>
    <t>263860200328286020100100170008020244</t>
  </si>
  <si>
    <t>Оказание оказание услуг по техническому обслуживанию систем обеспечения пожарной безопасности зданий и сооружений для муниципальных нужд</t>
  </si>
  <si>
    <t>263860200328286020100100180008010244</t>
  </si>
  <si>
    <t>май, 2026</t>
  </si>
  <si>
    <t>263860200328286020100100190008121244</t>
  </si>
  <si>
    <t>263860200328286020100100110008621244</t>
  </si>
  <si>
    <t>Оказание услуг по проведению периодических медицинских осмотров работников</t>
  </si>
  <si>
    <t>283860200328286020100100010008010244</t>
  </si>
  <si>
    <t>февраль, 2028</t>
  </si>
  <si>
    <t>283860200328286020100100020008129244</t>
  </si>
  <si>
    <t>283860200328286020100100070008621244</t>
  </si>
  <si>
    <t>283860200328286020100100080003313244</t>
  </si>
  <si>
    <t>Оказание услуг по техническому обслуживанию слаботочных систем</t>
  </si>
  <si>
    <t>Итого предусмотрено на осуществление закупок в текущем году по МБУ ЦФП "Надежда":</t>
  </si>
  <si>
    <t>Итого предусмотрено на осуществление закупок на второй год планового периода по МБУ ЦФП "Надежда":</t>
  </si>
  <si>
    <t>МБУ ДО СШ "Виктория"</t>
  </si>
  <si>
    <t>Оказание услуг по продлению неисключительных прав на использование и воспроизведение антивирусного программного обеспечения «Антивирус Касперского»</t>
  </si>
  <si>
    <t>Поставка наградной продукции</t>
  </si>
  <si>
    <t>Оказание услуг по проведению периодических медицинских осмотров работников в 2027 году</t>
  </si>
  <si>
    <t>ноябрь 2026</t>
  </si>
  <si>
    <t>Оказание услуг по зимнему содержанию территории (уборка и вывоз снега)</t>
  </si>
  <si>
    <t>август 2026</t>
  </si>
  <si>
    <t>июль 2026</t>
  </si>
  <si>
    <t>Оказание услуг по проведению периодических медицинских осмотров работников в 2028 году</t>
  </si>
  <si>
    <t>ноябрь 2027</t>
  </si>
  <si>
    <t>август 2027</t>
  </si>
  <si>
    <t>февраль 2027</t>
  </si>
  <si>
    <t>Оказание услуг по уборке помещений в 2028 году</t>
  </si>
  <si>
    <t>февраль 2028</t>
  </si>
  <si>
    <t>Итого предусмотрено на осуществление закупок в текущем году по МБУ ДО СШ "Виктория":</t>
  </si>
  <si>
    <t>Итого предусмотрено на осуществление закупок на второй год планового периода по МБУ ДО СШ "Виктория":</t>
  </si>
  <si>
    <t>Итого предусмотрено на осуществление закупок на первый год планового периода по МБУ ДО СШ "Виктория":</t>
  </si>
  <si>
    <t>МБУ "Вариант"</t>
  </si>
  <si>
    <t>263860200291686020100100010001394244</t>
  </si>
  <si>
    <t>Поставка шнурков для телефона с нанесением логотипа по эскизу Заказчика</t>
  </si>
  <si>
    <t>263860200291686020100100020001392244</t>
  </si>
  <si>
    <t>Поставка флагов с нанесением логотипа по эскизу Заказчика</t>
  </si>
  <si>
    <t>263860200291686020100100040001512244</t>
  </si>
  <si>
    <t>Поставка текстильных изделий с нанесением логотипов по эскизам Заказчика</t>
  </si>
  <si>
    <t>263860200291686020100100050001392244</t>
  </si>
  <si>
    <t>Поставка масок для сна с нанесением логотипа по эскизу Заказчика</t>
  </si>
  <si>
    <t>263860200291686020100100060001396244</t>
  </si>
  <si>
    <t>Поставка багажных бирок с нанесением логотипа по эскизу Заказчика</t>
  </si>
  <si>
    <t>263860200291686020100100080001414244</t>
  </si>
  <si>
    <t>263860200291686020100100090003299244</t>
  </si>
  <si>
    <t>Поставка мольбертов</t>
  </si>
  <si>
    <t>263860200291686020100100100003299244</t>
  </si>
  <si>
    <t>Поставка доски магнитно-маркерной</t>
  </si>
  <si>
    <t>263860200291686020100100110003240244</t>
  </si>
  <si>
    <t>Поставка кикера (настольного футбола)</t>
  </si>
  <si>
    <t>263860200291686020100100120002620244</t>
  </si>
  <si>
    <t>Поставка компьютеров и периферийного оборудования</t>
  </si>
  <si>
    <t>263860200291686020100100130002620244</t>
  </si>
  <si>
    <t>263860200291686020100100140003220244</t>
  </si>
  <si>
    <t>Поставка электрогитары</t>
  </si>
  <si>
    <t>263860200291686020100100150003220244</t>
  </si>
  <si>
    <t>Поставка электронной ударной установки</t>
  </si>
  <si>
    <t>263860200291686020100100160003101244</t>
  </si>
  <si>
    <t>Поставка мебели для офисов и предприятий торговли</t>
  </si>
  <si>
    <t>263860200291686020100100170000000244</t>
  </si>
  <si>
    <t>Поставка мебели</t>
  </si>
  <si>
    <t>263860200291686020100100180003240244</t>
  </si>
  <si>
    <t>Поставка аэрохоккея</t>
  </si>
  <si>
    <t>263860200291686020100100190002640244</t>
  </si>
  <si>
    <t>Поставка телевизора</t>
  </si>
  <si>
    <t>263860200291686020100100200000000244</t>
  </si>
  <si>
    <t>Поставка проектора, экрана для проектора</t>
  </si>
  <si>
    <t>263860200291686020100100210001392244</t>
  </si>
  <si>
    <t>Поставка штор рулонных</t>
  </si>
  <si>
    <t>263860200291686020100100220002640244</t>
  </si>
  <si>
    <t>Поставка аппаратуры для воспроизведения звука прочей</t>
  </si>
  <si>
    <t>263860200291686020100100270008020244</t>
  </si>
  <si>
    <t>Оказание услуг по техническому обслуживанию систем (средств, установок) обеспечения пожарной безопасности зданий и сооружений для обеспечения муниципальных нужд</t>
  </si>
  <si>
    <t>263860200291686020100100280003312244</t>
  </si>
  <si>
    <t>Оказание услуг по техническому обслуживанию систем видеонаблюдения</t>
  </si>
  <si>
    <t>263860200291686020100100290008121244</t>
  </si>
  <si>
    <t>263860200291686020100100300008129244</t>
  </si>
  <si>
    <t>Оказание услуг по проведению дезинфекционных мероприятий: дезинсекция и дератизация</t>
  </si>
  <si>
    <t>263860200291686020100100310008621244</t>
  </si>
  <si>
    <t>Оказание услуг по проведению предрейсовых и послерейсовых медицинских осмотров водителей</t>
  </si>
  <si>
    <t>263860200291686020100100320008621244</t>
  </si>
  <si>
    <t>263860200291686020100100330008621244</t>
  </si>
  <si>
    <t>Оказание услуг по проведению предварительного медицинского осмотра лиц, поступающих на работу в МБУ "Вариант"</t>
  </si>
  <si>
    <t>263860200291686020100100340008122244</t>
  </si>
  <si>
    <t>Оказание услуг по очистке плоских крыш от снега, сосулек и наледи</t>
  </si>
  <si>
    <t>263860200291686020100100350008129244</t>
  </si>
  <si>
    <t>Оказание услуг по очистке от снега и наледи наружных пристроек</t>
  </si>
  <si>
    <t>263860200291686020100100360008010244</t>
  </si>
  <si>
    <t>263860200291686020100100370003230244</t>
  </si>
  <si>
    <t>Поставка расходных материалов для пейнтбольных маркеров (шары)</t>
  </si>
  <si>
    <t>263860200291686020100100380002229244</t>
  </si>
  <si>
    <t>Поставка рамок для диплома</t>
  </si>
  <si>
    <t>263860200291686020100100390003213244</t>
  </si>
  <si>
    <t>263860200291686020100100400001399244</t>
  </si>
  <si>
    <t>Поставка ланъярдов для бейджа</t>
  </si>
  <si>
    <t>263860200291686020100100420004520244</t>
  </si>
  <si>
    <t>Оказание услуг по техническому обслуживанию и ремонту автотранспортных средств</t>
  </si>
  <si>
    <t>263860200291686020100100430001431244</t>
  </si>
  <si>
    <t>Поставка носков с нанесением логотипов по эскизам Заказчика</t>
  </si>
  <si>
    <t>263860200291686020100100440000000244</t>
  </si>
  <si>
    <t>263860200291686020100100450002229244</t>
  </si>
  <si>
    <t>Поставка стикеров и стикерпаков с печатью по эскизам Заказчика</t>
  </si>
  <si>
    <t>263860200291686020100100660000210244</t>
  </si>
  <si>
    <t>Поставка наборов для выращивания с нанесением логотипа по эскизу Заказчика</t>
  </si>
  <si>
    <t>273860200291686020100100020002229244</t>
  </si>
  <si>
    <t>273860200291686020100100030003213244</t>
  </si>
  <si>
    <t>273860200291686020100100040001399244</t>
  </si>
  <si>
    <t>273860200291686020100100060004520244</t>
  </si>
  <si>
    <t>273860200291686020100100070001431244</t>
  </si>
  <si>
    <t>273860200291686020100100080000000244</t>
  </si>
  <si>
    <t>273860200291686020100100090002229244</t>
  </si>
  <si>
    <t>273860200291686020100100230003230244</t>
  </si>
  <si>
    <t>273860200291686020100100240000210244</t>
  </si>
  <si>
    <t>Итого предусмотрено на осуществление закупок в текущем году по МБУ "Вариант":</t>
  </si>
  <si>
    <t>Итого предусмотрено на осуществление закупок на первый год планового периода по МБУ "Вариант":</t>
  </si>
  <si>
    <t>МБУ "ЦСП "Сибирский легион"</t>
  </si>
  <si>
    <t>263860200288186020100100450008129244</t>
  </si>
  <si>
    <t>Оказание услуг по летнему содержанию мототрассы</t>
  </si>
  <si>
    <t>263860200288186020100100470008010244</t>
  </si>
  <si>
    <t>263860200288186020100100500001629244</t>
  </si>
  <si>
    <t>Приобретение наградной продукции</t>
  </si>
  <si>
    <t>263860200288186020100100440004939244</t>
  </si>
  <si>
    <t>Оказание автотранспортных услуг</t>
  </si>
  <si>
    <t>263860200288186020100100520003299244</t>
  </si>
  <si>
    <t>Поставка канцелярских принадлежностей</t>
  </si>
  <si>
    <t>263860200288186020100100480008621244</t>
  </si>
  <si>
    <t>263860200288186020100100490001412244</t>
  </si>
  <si>
    <t>Поставка спецодежды</t>
  </si>
  <si>
    <t>263860200288186020100100460004520244</t>
  </si>
  <si>
    <t>Оказание услуг по диагностике, техническому обслуживанию и ремонту автотранспортных средств</t>
  </si>
  <si>
    <t>273860200288186020100100170008010244</t>
  </si>
  <si>
    <t>273860200288186020100100150008129244</t>
  </si>
  <si>
    <t>273860200288186020100100140004939244</t>
  </si>
  <si>
    <t>273860200288186020100100190001629244</t>
  </si>
  <si>
    <t>273860200288186020100100210003299244</t>
  </si>
  <si>
    <t>273860200288186020100100180008621244</t>
  </si>
  <si>
    <t>273860200288186020100100220001412244</t>
  </si>
  <si>
    <t>283860200288186020100100050008010244</t>
  </si>
  <si>
    <t>283860200288186020100100020004939244</t>
  </si>
  <si>
    <t>283860200288186020100100070001629244</t>
  </si>
  <si>
    <t>283860200288186020100100090003299244</t>
  </si>
  <si>
    <t>283860200288186020100100060008621244</t>
  </si>
  <si>
    <t>283860200288186020100100100001412244</t>
  </si>
  <si>
    <t>283860200288186020100100040004520244</t>
  </si>
  <si>
    <t>283860200288186020100100030008129244</t>
  </si>
  <si>
    <t>Итого предусмотрено на осуществление закупок в текущем году по МБУ "ЦСП "Сибирский легион":</t>
  </si>
  <si>
    <t>Итого предусмотрено на осуществление закупок на первый год планового периода по МБУ "ЦСП "Сибирский легион":</t>
  </si>
  <si>
    <t>Итого предусмотрено на осуществление закупок на второй год планового периода по МБУ "ЦСП "Сибирский легион":</t>
  </si>
  <si>
    <t>МКУ ССЦ</t>
  </si>
  <si>
    <t>263860200330086020100100010000000244</t>
  </si>
  <si>
    <t>Поставка запасных частей для судов, лодок и лодочных моторов</t>
  </si>
  <si>
    <t>263860200330086020100100020003315244</t>
  </si>
  <si>
    <t>Оказание услуг по техническому обслуживанию и ремонту судов, лодок и лодочных моторов</t>
  </si>
  <si>
    <t>263860200330086020100100030003822244</t>
  </si>
  <si>
    <t>Оказание услуг по транспортировке и обезвреживанию отхода: «Всплывшие нефтепродукты из нефтеловушек и аналогичных сооружений»</t>
  </si>
  <si>
    <t>263860200330086020100100040008425244</t>
  </si>
  <si>
    <t>Оказание услуги по организации дежурства патрульно-спасательных постов в местах массового отдыха людей на водоемах города Сургута в 2026 году.</t>
  </si>
  <si>
    <t>263860200330086020100100050008542244</t>
  </si>
  <si>
    <t>Оказание услуг по обучению работодателей и работников вопросам охраны труда</t>
  </si>
  <si>
    <t>263860200330086020100100060001920244</t>
  </si>
  <si>
    <t>Поставка моторных и трансмиссионных масел для судов, лодочных моторов, снегоходов и водолазного оборудования.</t>
  </si>
  <si>
    <t>263860200330086020100100070002823244</t>
  </si>
  <si>
    <t>Поставка оригинальных расходных материалов и запасных частей для печатающих устройств.</t>
  </si>
  <si>
    <t>263860200330086020100100080008621244</t>
  </si>
  <si>
    <t>Оказание услуг по проведению периодических медицинских осмотров работников в 2026 году.</t>
  </si>
  <si>
    <t>263860200330086020100100090001712244</t>
  </si>
  <si>
    <t>263860200330086020100100100008129244</t>
  </si>
  <si>
    <t>Оказание услуг по уборке и вывозу снега с территории в 4 квартале 2026 года.</t>
  </si>
  <si>
    <t>263860200330086020100100110008121244</t>
  </si>
  <si>
    <t>Оказание услуг по уборке помещений в 2027 году.</t>
  </si>
  <si>
    <t>263860200330086020100100120006512244</t>
  </si>
  <si>
    <t>Оказание услуг по обязательному страхованию гражданской ответственности владельцев транспортных средств.</t>
  </si>
  <si>
    <t>263860200330086020100100140001920244</t>
  </si>
  <si>
    <t>263860200330086020100100150002920244</t>
  </si>
  <si>
    <t>Поставка прицепа  (мобильный спасательный пост)</t>
  </si>
  <si>
    <t>263860200330086020100100160000000244</t>
  </si>
  <si>
    <t>263860200330086020100100170002812244</t>
  </si>
  <si>
    <t>Поставка расширителя гидравлического РСГ-80</t>
  </si>
  <si>
    <t>263860200330086020100100180003299244</t>
  </si>
  <si>
    <t>Поставка тренажера-манекен</t>
  </si>
  <si>
    <t>263860200330086020100100190002910244</t>
  </si>
  <si>
    <t>Поставка ГАЗ 27057</t>
  </si>
  <si>
    <t>263860200330086020100100200002824244</t>
  </si>
  <si>
    <t>Поставка бензореза</t>
  </si>
  <si>
    <t>263860200330086020100100210002790244</t>
  </si>
  <si>
    <t>Поставка СГУ</t>
  </si>
  <si>
    <t>263860200330086020100100220002640244</t>
  </si>
  <si>
    <t>Поставка громкоговорителей</t>
  </si>
  <si>
    <t>263860200330086020100100230002630244</t>
  </si>
  <si>
    <t>Поставка водолазной станции связи</t>
  </si>
  <si>
    <t>263860200330086020100100240005629244</t>
  </si>
  <si>
    <t>Оказание услуг по организации общественного питания в 2027 глду</t>
  </si>
  <si>
    <t>263860200330086020100100280004520244</t>
  </si>
  <si>
    <t>Оказание услуг по техническому обслуживанию и ремонту автотранспортных средств для обеспечения муниципальных нужд.</t>
  </si>
  <si>
    <t>263860200330086020100100380008129244</t>
  </si>
  <si>
    <t>Оказание услуг по уборке и вывозу снега с территории в 2027 году.</t>
  </si>
  <si>
    <t>263860200330086020100100400001414244</t>
  </si>
  <si>
    <t>273860200330086020100100010000000244</t>
  </si>
  <si>
    <t>273860200330086020100100020003315244</t>
  </si>
  <si>
    <t>273860200330086020100100030003822244</t>
  </si>
  <si>
    <t>273860200330086020100100040008425244</t>
  </si>
  <si>
    <t>Оказание услуги по организации дежурства патрульно-спасательных постов в местах массового отдыха людей на водоемах города Сургута в 2027 году.</t>
  </si>
  <si>
    <t>273860200330086020100100050008542244</t>
  </si>
  <si>
    <t>273860200330086020100100060001920244</t>
  </si>
  <si>
    <t>273860200330086020100100070002823244</t>
  </si>
  <si>
    <t>273860200330086020100100080008621244</t>
  </si>
  <si>
    <t>Оказание услуг по проведению периодических медицинских осмотров работников в 2027 году.</t>
  </si>
  <si>
    <t>273860200330086020100100090001712244</t>
  </si>
  <si>
    <t>273860200330086020100100510002211244</t>
  </si>
  <si>
    <t>Поставка шин для автотранспорта</t>
  </si>
  <si>
    <t>273860200330086020100100520002720244</t>
  </si>
  <si>
    <t>Поставка аккумуляторных батарей</t>
  </si>
  <si>
    <t>273860200330086020100100530008121244</t>
  </si>
  <si>
    <t>Оказание услуг по уборке помещений в 2028 году.</t>
  </si>
  <si>
    <t>273860200330086020100100540006512244</t>
  </si>
  <si>
    <t>273860200330086020100100560005629244</t>
  </si>
  <si>
    <t>Оказание услуг по организации общественного питания на 2028 год</t>
  </si>
  <si>
    <t>273860200330086020100100570004520244</t>
  </si>
  <si>
    <t>273860200330086020100100610000000244</t>
  </si>
  <si>
    <t>273860200330086020100100620001920244</t>
  </si>
  <si>
    <t>Поставка топлива с заправкой автотранспортных средств (товар, необходимый для нормального жизнеобеспечения).</t>
  </si>
  <si>
    <t>273860200330086020100100630001920244</t>
  </si>
  <si>
    <t>273860200330086020100100670003315244</t>
  </si>
  <si>
    <t>273860200330086020100100680008129244</t>
  </si>
  <si>
    <t>Оказание услуг по уборке и вывозу снега с территории в 2028 году.</t>
  </si>
  <si>
    <t>273860200330086020100100690001414244</t>
  </si>
  <si>
    <t>283860200330086020100100010000000244</t>
  </si>
  <si>
    <t>283860200330086020100100030003822244</t>
  </si>
  <si>
    <t>283860200330086020100100040008425244</t>
  </si>
  <si>
    <t>Оказание услуги по организации дежурства патрульно-спасательных постов в местах массового отдыха людей на водоемах города Сургута в 2028 году.</t>
  </si>
  <si>
    <t>283860200330086020100100060008542244</t>
  </si>
  <si>
    <t>283860200330086020100100080008621244</t>
  </si>
  <si>
    <t>Оказание услуг по проведению периодических медицинских осмотров работников в 2028 году.</t>
  </si>
  <si>
    <t>283860200330086020100100090001712244</t>
  </si>
  <si>
    <t>283860200330086020100100510002211244</t>
  </si>
  <si>
    <t>283860200330086020100100520002720244</t>
  </si>
  <si>
    <t>283860200330086020100100530001920244</t>
  </si>
  <si>
    <t>283860200330086020100100560001920244</t>
  </si>
  <si>
    <t>283860200330086020100100570002823244</t>
  </si>
  <si>
    <t>Итого предусмотрено на осуществление закупок в текущем году по МКУ ССЦ:</t>
  </si>
  <si>
    <t>Итого предусмотрено на осуществление закупок на первый год планового периода по МКУ ССЦ:</t>
  </si>
  <si>
    <t>Итого предусмотрено на осуществление закупок на второй год планового периода по МКУ ССЦ:</t>
  </si>
  <si>
    <t>МКУ "ЕДДС города Сургута"</t>
  </si>
  <si>
    <t>263860218872486020100100280003313244</t>
  </si>
  <si>
    <t>Оказание услуг по сезонному техническому обслуживанию оборудования</t>
  </si>
  <si>
    <t>263860218872486020100100220004321244</t>
  </si>
  <si>
    <t>Модернизация муниципальной системы оповещения населения г.Сургута</t>
  </si>
  <si>
    <t>263860218872486020100100230008121244</t>
  </si>
  <si>
    <t>январь 2026</t>
  </si>
  <si>
    <t>263860218872486020100100250003313244</t>
  </si>
  <si>
    <t>Оказание услуг по техническому обслуживанию комплексов мониторинга окружающей среды</t>
  </si>
  <si>
    <t>263860218872486020100100260003313244</t>
  </si>
  <si>
    <t>Оказание услуг по техническому обслуживанию муниципальной системы оповещения и информирования населения города Сургута</t>
  </si>
  <si>
    <t>263860218872486020100100290004932244</t>
  </si>
  <si>
    <t>263860218872486020100100310006203244</t>
  </si>
  <si>
    <t>Оказание услуг по программному сопровождению муниципальной системы оповещения и информирования населения города Сургута</t>
  </si>
  <si>
    <t>263860218872486020100100320006203244</t>
  </si>
  <si>
    <t>Оказание услуг по технической поддержки специализированного программного обеспечения «Исток–СМ»</t>
  </si>
  <si>
    <t>273860218872486020100100140004932244</t>
  </si>
  <si>
    <t>273860218872486020100100150006203244</t>
  </si>
  <si>
    <t>273860218872486020100100160006203244</t>
  </si>
  <si>
    <t>май 2027</t>
  </si>
  <si>
    <t>273860218872486020100100090004321244</t>
  </si>
  <si>
    <t>273860218872486020100100100008121244</t>
  </si>
  <si>
    <t>январь 2027</t>
  </si>
  <si>
    <t>273860218872486020100100130003313244</t>
  </si>
  <si>
    <t>273860218872486020100100120003313244</t>
  </si>
  <si>
    <t>283860218872486020100100010004321244</t>
  </si>
  <si>
    <t>283860218872486020100100020008121244</t>
  </si>
  <si>
    <t>январь 2028</t>
  </si>
  <si>
    <t>283860218872486020100100030003313244</t>
  </si>
  <si>
    <t>Итого предусмотрено на осуществление закупок в текущем году по МКУ "ЕДДС города Сургута":</t>
  </si>
  <si>
    <t>Итого предусмотрено на осуществление закупок на первый год планового периода по МКУ "ЕДДС города Сургута":</t>
  </si>
  <si>
    <t>Итого предусмотрено на осуществление закупок на второй год планового периода по МКУ "ЕДДС города Сургута":</t>
  </si>
  <si>
    <t>МКУ "ЦООД"</t>
  </si>
  <si>
    <t>263860227161286020100100300008121244</t>
  </si>
  <si>
    <t>263860227161286020100100320008542244</t>
  </si>
  <si>
    <t>Оказание услуг по проведению повышения квалификации для руководителей муниципальных учреждений</t>
  </si>
  <si>
    <t>263860227161286020100100340008542244</t>
  </si>
  <si>
    <t>263860227161286020100100370002041244</t>
  </si>
  <si>
    <t>Поставка изделий санитарно-гигиенического назначения</t>
  </si>
  <si>
    <t>263860227161286020100100400002620244</t>
  </si>
  <si>
    <t>Поставка элементов замены типовых устройств ввода и вывода</t>
  </si>
  <si>
    <t>263860227161286020100100440001712244</t>
  </si>
  <si>
    <t>Поставка бумаги для офисной техники</t>
  </si>
  <si>
    <t>263860227161286020100100080008541244</t>
  </si>
  <si>
    <t>Оказание услуг по проведению планового семинара для работников Администрации города Сургута, ее структурных подразделений и муниципальных учреждений</t>
  </si>
  <si>
    <t>263860227161286020100100090008541244</t>
  </si>
  <si>
    <t>Оказание услуг по проведению планового семинара для работников Администрации города Сургута, ее структурных подразделений</t>
  </si>
  <si>
    <t>263860227161286020100100100008541244</t>
  </si>
  <si>
    <t>Оказание услуг по проведению плановых семинаров для работников Администрации города Сургута, ее структурных подразделений</t>
  </si>
  <si>
    <t>263860227161286020100100110008541244</t>
  </si>
  <si>
    <t>263860227161286020100100160008542244</t>
  </si>
  <si>
    <t>Оказание услуг по проведению повышения квалификации для работников Администрации города Сургута, ее структурных подразделений</t>
  </si>
  <si>
    <t>263860227161286020100100180008541244</t>
  </si>
  <si>
    <t>263860227161286020100100190008541244</t>
  </si>
  <si>
    <t>263860227161286020100100280009511244</t>
  </si>
  <si>
    <t>Оказание услуг по заправке картриджей</t>
  </si>
  <si>
    <t>263860227161286020100100030008542244</t>
  </si>
  <si>
    <t>263860227161286020100100010008541244</t>
  </si>
  <si>
    <t>263860227161286020100100020008541244</t>
  </si>
  <si>
    <t>263860227161286020100100040008541244</t>
  </si>
  <si>
    <t>263860227161286020100100060009511244</t>
  </si>
  <si>
    <t>273860227161286020100100310008121244</t>
  </si>
  <si>
    <t>273860227161286020100100350008542244</t>
  </si>
  <si>
    <t>273860227161286020100100330008542244</t>
  </si>
  <si>
    <t>273860227161286020100100390002041244</t>
  </si>
  <si>
    <t>273860227161286020100100420002620244</t>
  </si>
  <si>
    <t>273860227161286020100100430002620244</t>
  </si>
  <si>
    <t>273860227161286020100100450001712244</t>
  </si>
  <si>
    <t>273860227161286020100100120008541244</t>
  </si>
  <si>
    <t>273860227161286020100100130008541244</t>
  </si>
  <si>
    <t>273860227161286020100100140008541244</t>
  </si>
  <si>
    <t>273860227161286020100100150008541244</t>
  </si>
  <si>
    <t>273860227161286020100100170008542244</t>
  </si>
  <si>
    <t>273860227161286020100100200008541244</t>
  </si>
  <si>
    <t>273860227161286020100100210008541244</t>
  </si>
  <si>
    <t>273860227161286020100100260004932244</t>
  </si>
  <si>
    <t>273860227161286020100100290009511244</t>
  </si>
  <si>
    <t>273860227161286020100100410002620244</t>
  </si>
  <si>
    <t>Итого предусмотрено на осуществление закупок в текущем году по МКУ "ЦООД":</t>
  </si>
  <si>
    <t>Итого предусмотрено на осуществление закупок на первый год планового периода по МКУ "ЦООД":</t>
  </si>
  <si>
    <t xml:space="preserve"> МБУДО «ДШИ им. Г. Кукуевицкого»</t>
  </si>
  <si>
    <t>263860200317086020100100090008010244</t>
  </si>
  <si>
    <t>Оказание охранных услуг в 2027-2028 году</t>
  </si>
  <si>
    <t>263860200317086020100100100008621244</t>
  </si>
  <si>
    <t>263860200317086020100100110008121244</t>
  </si>
  <si>
    <t>Оказание услуг по уборке помещений в 2027-2028 году</t>
  </si>
  <si>
    <t>263860200317086020100100120004932244</t>
  </si>
  <si>
    <t>Оказание услуг по организации перевозок пассажиров и багажа легковым такси в 2027-2028 гг.</t>
  </si>
  <si>
    <t>Итого предусмотрено на осуществление закупок в текущем году по МБУДО «ДШИ им. Г. Кукуевицкого»:</t>
  </si>
  <si>
    <t>МКУ "УИТС г. Сургута"</t>
  </si>
  <si>
    <t>263860200254686020100101070009511244</t>
  </si>
  <si>
    <t>Оказание услуг по техническому обслуживанию и ремонту вычислительной, копировально-множительной техники и периферийного оборудования в муниципальных учреждениях</t>
  </si>
  <si>
    <t>263860200254686020100101090002620244</t>
  </si>
  <si>
    <t>263860200254686020100101110002620244</t>
  </si>
  <si>
    <t>263860200254686020100101120002640244</t>
  </si>
  <si>
    <t>Поставка специального комплекса регистрации видео- и аудиоинформации</t>
  </si>
  <si>
    <t>263860200254686020100101150008010244</t>
  </si>
  <si>
    <t>263860200254686020100101190007112244</t>
  </si>
  <si>
    <t>Оказание услуг по поверке (калибровке) средств измерений, аттестации испытательного оборудования</t>
  </si>
  <si>
    <t>263860200254686020100101220004932244</t>
  </si>
  <si>
    <t>263860200254686020100101270005829244</t>
  </si>
  <si>
    <t>август, 2026</t>
  </si>
  <si>
    <t>263860200254686020100101280006202244</t>
  </si>
  <si>
    <t>Оказание услуг по предоставлению сертификатов технической поддержки программного обеспечения Кибер Бэкап</t>
  </si>
  <si>
    <t>263860200254686020100101290006202244</t>
  </si>
  <si>
    <t>Оказание услуг по предоставлению сертификатов активации сервиса совместной технической поддержки ПО ViPNet</t>
  </si>
  <si>
    <t>263860200254686020100101300006202244</t>
  </si>
  <si>
    <t>Поставка ключа активации сервиса совместной технической поддержки средств защиты информации Secret Net Studio</t>
  </si>
  <si>
    <t>263860200254686020100101310006202244</t>
  </si>
  <si>
    <t>Поставка ключа активации сервиса прямой технической поддержки средств защиты информации</t>
  </si>
  <si>
    <t>263860200254686020100101320005829244</t>
  </si>
  <si>
    <t>Оказание услуг по продлению неисключительных прав на использование лицензионного программного обеспечения Xspider</t>
  </si>
  <si>
    <t>263860200254686020100101330006202244</t>
  </si>
  <si>
    <t>Оказание услуг по предоставлению ключа активации технической поддержки программного обеспечения</t>
  </si>
  <si>
    <t>263860200254686020100101340005829244</t>
  </si>
  <si>
    <t>Оказание услуг по передаче неисключительных прав на использование программы для ЭВМ</t>
  </si>
  <si>
    <t>Запрос котировки в электронной форме</t>
  </si>
  <si>
    <t>263860200254686020100101350007490244</t>
  </si>
  <si>
    <t>Аттестация защищаемого помещения "Кабинет Главы города Сургута", "Студия конфиденциальной видеосвязи" по требованиям безопасности информации</t>
  </si>
  <si>
    <t>263860200254686020100101360007490244</t>
  </si>
  <si>
    <t>Оказание услуг по проведению периодического контроля уровня защиты информации ранее аттестованного объекта информатизации «Зал ВКС Администрации города Сургута»</t>
  </si>
  <si>
    <t>263860200254686020100101370007490244</t>
  </si>
  <si>
    <t>Оказание услуг по аттестационным испытаниям и проведению оценки эффективности защиты (защищенности) информации от утечки по техническим каналам и от несанкционированного доступа на объектах информатизации Администрации города Сургута</t>
  </si>
  <si>
    <t>263860200254686020100101380007490244</t>
  </si>
  <si>
    <t>Оказание услуг по проведению периодического контроля уровня защиты информации ранее аттестованных объектов информатизации</t>
  </si>
  <si>
    <t>263860200254686020100101390007490244</t>
  </si>
  <si>
    <t>Оказание услуг по проведению аттестационных мероприятий объектов информатизации требованиям ФСТЭК России по защите конфиденциальной информации</t>
  </si>
  <si>
    <t>263860200254686020100101400003313244</t>
  </si>
  <si>
    <t>Оказание услуг по техническому обслуживанию информационных табло, установленных на остановочных комплексах на территории города Сургута</t>
  </si>
  <si>
    <t>263860200254686020100101410006311244</t>
  </si>
  <si>
    <t>Оказание услуг по организации видеонаблюдения с передачей видеопотока</t>
  </si>
  <si>
    <t>263860200254686020100101420005829244</t>
  </si>
  <si>
    <t>Оказание услуг по продлению неисключительных прав (лицензии) на использование системы автоматизированного сбора и лингвистического анализа данных из сети Интернет</t>
  </si>
  <si>
    <t>263860200254686020100101430005829244</t>
  </si>
  <si>
    <t>Оказание услуг по предоставлению неисключительных прав (лицензии) на использование поисково-аналитической системы для организации мониторинга социальных сетей</t>
  </si>
  <si>
    <t>263860200254686020100101440006202244</t>
  </si>
  <si>
    <t>Оказание услуг по предоставлению сертификатов информационно-технической поддержки интеллектуальной транспортной системы Сургутской городской агломерации</t>
  </si>
  <si>
    <t>263860200254686020100101450006202244</t>
  </si>
  <si>
    <t>263860200254686020100101460006203244</t>
  </si>
  <si>
    <t>Оказание услуг по адаптации и сопровождению экземпляров Систем КонсультантПлюс на основе специального лицензионного сервисного программного обеспечения, обеспечивающего совместимость (взаимодействие) услуг с ранее установленными экземплярами Систем КонсультантПлюс (в том числе специальной копией системы КонсультантПлюс)</t>
  </si>
  <si>
    <t>263860200254686020100101470006203244</t>
  </si>
  <si>
    <t>263860200254686020100101480005829244</t>
  </si>
  <si>
    <t>Оказание услуг по продлению (предоставлению) права использования программного обеспечения и базы данных Электронный периодический справочник «Система ГАРАНТ» (справочная правовая система), содержащую информацию о текущем состоянии законодательства Российской Федерации, на которую предоставляется право использования на условиях простой (неисключительной) лицензии для структурных подразделений Администрации г. Сургута и муниципальных учреждений</t>
  </si>
  <si>
    <t>263860200254686020100101490005829244</t>
  </si>
  <si>
    <t>263860200254686020100101500006203244</t>
  </si>
  <si>
    <t>Оказание услуг по сопровождению и доработке автоматизированных информационных систем бюджетного (бухгалтерского), кадрового учета и отчетности на платформе «1С: Предприятие»</t>
  </si>
  <si>
    <t>Открытый конкурс в электронной форме</t>
  </si>
  <si>
    <t>263860200254686020100101510006203244</t>
  </si>
  <si>
    <t>Оказание услуг по информационно-технологическому сопровождению программных продуктов, входящих в состав открытой лицензии на предоставление неисключительного права использования программных продуктов для автоматизированного ведения бюджетного (бухгалтерского), кадрового учета и формирования отчетности в органах местного самоуправления, учреждениях городского округа город Сургут Ханты-Мансийского автономного округа – Югры на 2027 год</t>
  </si>
  <si>
    <t>263860200254686020100101530008010244</t>
  </si>
  <si>
    <t>263860200254686020100101560006203244</t>
  </si>
  <si>
    <t>Оказание услуг по сопровождению программ «Свод дебиторской и кредиторской задолженности»</t>
  </si>
  <si>
    <t>263860200254686020100101580006203244</t>
  </si>
  <si>
    <t>Оказание услуг по сопровождению программных продуктов «Учёт выданных кредитов на покупку жилья по программе «Ликвидация ветхого жилого фонда», «Учет рассрочки платежа по реализации преимущественного права выкупа арендаторами»</t>
  </si>
  <si>
    <t>263860200254686020100101600006311244</t>
  </si>
  <si>
    <t>Оказание услуг по ведению классификатора муниципальных правовых актов</t>
  </si>
  <si>
    <t>263860200254686020100101610006202244</t>
  </si>
  <si>
    <t>Оказание услуг по предоставлению сертификата активации сервиса технической поддержки программного продукта IntraService (тариф Расширенный)</t>
  </si>
  <si>
    <t>263860200254686020100101620006201244</t>
  </si>
  <si>
    <t>Оказание услуг по настройке интеграции автоматизированной информационной системы обеспечения градостроительной деятельности АИСОГД г. Сургута c государственной информационной системы обеспечения градостроительной деятельности (ГИСОГД) Югры</t>
  </si>
  <si>
    <t>263860200254686020100101630006203244</t>
  </si>
  <si>
    <t>Оказание услуг по сопровождению системы расчета стоимости услуг муниципальных учреждений</t>
  </si>
  <si>
    <t>263860200254686020100101650005829244</t>
  </si>
  <si>
    <t>Оказание услуг по продлению неисключительных прав (лицензий) на использование программного обеспечения Testograf</t>
  </si>
  <si>
    <t>263860200254686020100101660005829244</t>
  </si>
  <si>
    <t>Оказание услуг по продлению неисключительных прав на использование программы для ЭВМ «1С-Битрикс24» (Профессиональный)</t>
  </si>
  <si>
    <t>263860200254686020100101680006202244</t>
  </si>
  <si>
    <t>Оказание услуг по предоставлению сертификата активации сервиса технической поддержки прикладного программного обеспечения «Учет судебных дел»</t>
  </si>
  <si>
    <t>263860200254686020100101690005829244</t>
  </si>
  <si>
    <t>Оказание услуг по продлению неисключительных прав (лицензий) на использование ПО Flussonic Media Server — Perpetual</t>
  </si>
  <si>
    <t>263860200254686020100101710006203244</t>
  </si>
  <si>
    <t>Оказание услуг по информационно-техническому сопровождению программного обеспечения «Ангел: Административная Практика»</t>
  </si>
  <si>
    <t>263860200254686020100101720005829244</t>
  </si>
  <si>
    <t>Оказание услуг по передаче неисключительных прав на использование электронной базы данных</t>
  </si>
  <si>
    <t>263860200254686020100101750006203244</t>
  </si>
  <si>
    <t>Оказание услуг по сопровождению системы управления очередью в управлении записи актов гражданского состояния Администрации города Сургута.</t>
  </si>
  <si>
    <t>263860200254686020100101780002620244</t>
  </si>
  <si>
    <t>Поставка технических средств</t>
  </si>
  <si>
    <t>263860200254686020100101810001712244</t>
  </si>
  <si>
    <t>263860200254686020100101820006110244</t>
  </si>
  <si>
    <t>Оказание услуг телематических служб (доступ к сети передачи данных «Интернет»)</t>
  </si>
  <si>
    <t>273860200254686020100100380002620244</t>
  </si>
  <si>
    <t>273860200254686020100100400002620244</t>
  </si>
  <si>
    <t>273860200254686020100100410001712244</t>
  </si>
  <si>
    <t>273860200254686020100100420002640244</t>
  </si>
  <si>
    <t>273860200254686020100100450008010244</t>
  </si>
  <si>
    <t>273860200254686020100100480007112244</t>
  </si>
  <si>
    <t>273860200254686020100100490006190244</t>
  </si>
  <si>
    <t>Оказание услуг по организации сети передачи данных для системы видеонаблюдения на остановочных павильонах города Сургута и предоставления Wi-Fi доступа к ресурсам сети Интернет</t>
  </si>
  <si>
    <t>273860200254686020100100500006110244</t>
  </si>
  <si>
    <t>Оказание услуг по предоставлению доступа к сетям электросвязи и оказание услуг телематических служб (доступ к сети передачи данных «Интернет»)</t>
  </si>
  <si>
    <t>273860200254686020100100510006110244</t>
  </si>
  <si>
    <t>Оказание услуг сети передачи данных с использованием технологии виртуальной частной сети второго уровня</t>
  </si>
  <si>
    <t>273860200254686020100100520006110244</t>
  </si>
  <si>
    <t>273860200254686020100100550006190244</t>
  </si>
  <si>
    <t>Оказание услуг по предоставлению волоконно-оптических линий и оконечного активного сетевого оборудования</t>
  </si>
  <si>
    <t>273860200254686020100100560006190244</t>
  </si>
  <si>
    <t>Оказание услуг по предоставлению волоконно-оптических линий и оконечного активного сетевого оборудования для образовательных учреждений города Сургута</t>
  </si>
  <si>
    <t>273860200254686020100100570006110244</t>
  </si>
  <si>
    <t>Оказание услуг сети передачи данных для муниципальной информационной системы Администрации города Сургута</t>
  </si>
  <si>
    <t>273860200254686020100100580006190244</t>
  </si>
  <si>
    <t>Оказание услуг по предоставлению волоконно-оптических линий и оконечного активного сетевого оборудования для муниципальных учреждений города Сургута</t>
  </si>
  <si>
    <t>273860200254686020100100590004932244</t>
  </si>
  <si>
    <t>273860200254686020100100640005829244</t>
  </si>
  <si>
    <t>273860200254686020100100650006202244</t>
  </si>
  <si>
    <t>273860200254686020100100660006202244</t>
  </si>
  <si>
    <t>273860200254686020100100670006202244</t>
  </si>
  <si>
    <t>273860200254686020100100680006202244</t>
  </si>
  <si>
    <t>273860200254686020100100690005829244</t>
  </si>
  <si>
    <t>273860200254686020100100700006202244</t>
  </si>
  <si>
    <t>273860200254686020100100710005829244</t>
  </si>
  <si>
    <t>273860200254686020100100720007490244</t>
  </si>
  <si>
    <t>273860200254686020100100730007490244</t>
  </si>
  <si>
    <t>273860200254686020100100740007490244</t>
  </si>
  <si>
    <t>273860200254686020100100750007490244</t>
  </si>
  <si>
    <t>273860200254686020100100760007490244</t>
  </si>
  <si>
    <t>273860200254686020100100770006311244</t>
  </si>
  <si>
    <t>273860200254686020100100780005829244</t>
  </si>
  <si>
    <t>273860200254686020100100790005829244</t>
  </si>
  <si>
    <t>273860200254686020100100800006202244</t>
  </si>
  <si>
    <t>273860200254686020100100810006202244</t>
  </si>
  <si>
    <t>273860200254686020100100820006203244</t>
  </si>
  <si>
    <t>273860200254686020100100830005829244</t>
  </si>
  <si>
    <t>273860200254686020100100840006203244</t>
  </si>
  <si>
    <t>273860200254686020100100850006203244</t>
  </si>
  <si>
    <t>Оказание услуг по информационно-технологическому сопровождению программных продуктов, входящих в состав открытой лицензии на предоставление неисключительного права использования программных продуктов для автоматизированного ведения бюджетного (бухгалтерского), кадрового учета и формирования отчетности в органах местного самоуправления, учреждениях городского округа город Сургут Ханты-Мансийского автономного округа – Югры на 2028 год</t>
  </si>
  <si>
    <t>273860200254686020100100880006203244</t>
  </si>
  <si>
    <t>273860200254686020100100900006203244</t>
  </si>
  <si>
    <t>273860200254686020100100920006202244</t>
  </si>
  <si>
    <t>273860200254686020100100930006201244</t>
  </si>
  <si>
    <t>273860200254686020100100940006203244</t>
  </si>
  <si>
    <t>273860200254686020100100960005829244</t>
  </si>
  <si>
    <t>273860200254686020100100970005829244</t>
  </si>
  <si>
    <t>273860200254686020100100980006311244</t>
  </si>
  <si>
    <t>Оказание услуг по предоставлению доступа к информационной системе анализа рынка и компаний</t>
  </si>
  <si>
    <t>273860200254686020100100990006202244</t>
  </si>
  <si>
    <t>273860200254686020100101020006203244</t>
  </si>
  <si>
    <t>273860200254686020100101030005829244</t>
  </si>
  <si>
    <t>273860200254686020100101060006203244</t>
  </si>
  <si>
    <t>273860200254686020100101080006202244</t>
  </si>
  <si>
    <t>Поставка ключа активации сервиса прямой технической поддержки средств защиты информации АПКШ «Континент»</t>
  </si>
  <si>
    <t>273860200254686020100101100002620244</t>
  </si>
  <si>
    <t>283860200254686020100100020002620244</t>
  </si>
  <si>
    <t>283860200254686020100100040002620244</t>
  </si>
  <si>
    <t>283860200254686020100100050001712244</t>
  </si>
  <si>
    <t>283860200254686020100100060002640244</t>
  </si>
  <si>
    <t>283860200254686020100100080007112244</t>
  </si>
  <si>
    <t>283860200254686020100100100006202244</t>
  </si>
  <si>
    <t>283860200254686020100100110006202244</t>
  </si>
  <si>
    <t>283860200254686020100100120006202244</t>
  </si>
  <si>
    <t>283860200254686020100100130006202244</t>
  </si>
  <si>
    <t>283860200254686020100100140005829244</t>
  </si>
  <si>
    <t>283860200254686020100100150006202244</t>
  </si>
  <si>
    <t>283860200254686020100100160005829244</t>
  </si>
  <si>
    <t>283860200254686020100100170007490244</t>
  </si>
  <si>
    <t>283860200254686020100100180007490244</t>
  </si>
  <si>
    <t>283860200254686020100100190007490244</t>
  </si>
  <si>
    <t>283860200254686020100100200007490244</t>
  </si>
  <si>
    <t>283860200254686020100100210007490244</t>
  </si>
  <si>
    <t>283860200254686020100100220005829244</t>
  </si>
  <si>
    <t>283860200254686020100100230005829244</t>
  </si>
  <si>
    <t>283860200254686020100100240006202244</t>
  </si>
  <si>
    <t>283860200254686020100100250006202244</t>
  </si>
  <si>
    <t>283860200254686020100100280005829244</t>
  </si>
  <si>
    <t>283860200254686020100100290005829244</t>
  </si>
  <si>
    <t>283860200254686020100100320005829244</t>
  </si>
  <si>
    <t>283860200254686020100100360006202244</t>
  </si>
  <si>
    <t>283860200254686020100100380002620244</t>
  </si>
  <si>
    <t>Итого предусмотрено на осуществление закупок в текущем году по МКУ "УИТС г. Сургута":</t>
  </si>
  <si>
    <t>Итого предусмотрено на осуществление закупок на первый год планового периода по МКУ "УИТС г. Сургута":</t>
  </si>
  <si>
    <t>Итого предусмотрено на осуществление закупок на второй год планового периода по МКУ "УИТС г. Сургута":</t>
  </si>
  <si>
    <t>МКУ "Дворец торжеств"</t>
  </si>
  <si>
    <t>Услуги по техническому обслуживанию системы охранного видеонаблюдения</t>
  </si>
  <si>
    <t>Услуги по уборке прилегающей территории (дворник)</t>
  </si>
  <si>
    <t>Оказание услуг по уборке крыш, козырьков от снега и обледенений</t>
  </si>
  <si>
    <t>Услуги по мытью витражей (наружная/внутренняя мойка окон)</t>
  </si>
  <si>
    <t>Услуги по уборке территории от снега (механическая уборка спецтранспортом)</t>
  </si>
  <si>
    <t>Поставка офисной мебели</t>
  </si>
  <si>
    <t>Изготовление и поставка праздничного декора</t>
  </si>
  <si>
    <t>июль, 2028</t>
  </si>
  <si>
    <t>Итого предусмотрено на осуществление закупок в текущем году по МКУ "Дворец торжеств:</t>
  </si>
  <si>
    <t>Итого предусмотрено на осуществление закупок на первый год планового периода по МКУ "Дворец торжеств":</t>
  </si>
  <si>
    <t>Итого предусмотрено на осуществление закупок на второй год планового периода по МКУ "Дворец торжеств":</t>
  </si>
  <si>
    <t>МКУ "Наш город"</t>
  </si>
  <si>
    <t>Куртки зимние</t>
  </si>
  <si>
    <t>Оказание услуг по организации перевозок пассажиров и багажа легковым такси в 2026-2027</t>
  </si>
  <si>
    <t>Оказание услуг по уборке прилегающей территории на объекте "Общественный центр в п. Снежный" 2026-2027</t>
  </si>
  <si>
    <t>Оказание услуг по техническому обслуживанию систем (средств, установок) обеспечения пожарной безопасности зданий и сооружений для обеспечения муниципальных нужд 2026-2027</t>
  </si>
  <si>
    <t>Оказание услуг по организации и проведению форума в 2026 году</t>
  </si>
  <si>
    <t>Проведение социологических исследований на территории города Сургута в 2026 году</t>
  </si>
  <si>
    <t>Оказание услуг по печати газеты "Сургутские ведомости" в 2026-2027 году</t>
  </si>
  <si>
    <t>Оказание услуг по доставке газеты "Сургутские ведомости" 2026-2027 году</t>
  </si>
  <si>
    <t>Оказание охранных услуг 2026-2027</t>
  </si>
  <si>
    <t>Оказание услуг по изготовлению полиграфической продукции в 2026 году</t>
  </si>
  <si>
    <t>Оказание услуг по уборке помещений 2026-2027</t>
  </si>
  <si>
    <t xml:space="preserve">Оказание автотранспортных услуг (легковой автотранспорт) </t>
  </si>
  <si>
    <t>Оказание услуг по уборке территории от снега (механизированная уборка спецтранспортом) 2026-2027</t>
  </si>
  <si>
    <t>Оказание услуг по техническому обслуживанию системы видеонаблюдения 2026-2027</t>
  </si>
  <si>
    <t>сентябрь, 2026</t>
  </si>
  <si>
    <t>Оказание услуг по организации и проведению форума в 2027 году</t>
  </si>
  <si>
    <t>Проведение социологических исследований на территории города Сургута в 2027 году</t>
  </si>
  <si>
    <t>Оказание услуг по изготовлению полиграфической продукции в 2027 году</t>
  </si>
  <si>
    <t>Оказание услуг по организации перевозок пассажиров и багажа легковым такси в 2028</t>
  </si>
  <si>
    <t>сентябрь, 2028</t>
  </si>
  <si>
    <t>Оказание услуг по уборке прилегающей территории на объекте "Общественный центр в п. Снежный" 2028</t>
  </si>
  <si>
    <t>Оказание услуг по техническому обслуживанию систем (средств, установок) обеспечения пожарной безопасности зданий и сооружений для обеспечения муниципальных нужд 2028</t>
  </si>
  <si>
    <t>Оказание услуг по организации и проведению форума в 2028 году</t>
  </si>
  <si>
    <t>Проведение социологических исследований на территории города Сургута в 2028 году</t>
  </si>
  <si>
    <t>Оказание услуг по печати газеты "Сургутские ведомости" в 2028 году</t>
  </si>
  <si>
    <t>Оказание услуг по доставке газеты "Сургутские ведомости" 2028 году</t>
  </si>
  <si>
    <t>Оказание охранных услуг 2028</t>
  </si>
  <si>
    <t>Оказание услуг по изготовлению полиграфической продукции в 2028 году</t>
  </si>
  <si>
    <t>Оказание услуг по техническому обслуживанию системы видеонаблюдения 2028</t>
  </si>
  <si>
    <t>Оказание услуг по уборке помещений 2028</t>
  </si>
  <si>
    <t>Оказание услуг по уборке территории от снега (механизированная уборка спецтранспортом) 2028</t>
  </si>
  <si>
    <t>Итого предусмотрено на осуществление закупок в текущем году по МКУ "Наш город":</t>
  </si>
  <si>
    <t>Итого предусмотрено на осуществление закупок на первый год планового периода по МКУ "Наш город":</t>
  </si>
  <si>
    <t>Итого предусмотрено на осуществление закупок на второй год планового периода по МКУ "Наш город":</t>
  </si>
  <si>
    <t>МКУ "ХЭУ"</t>
  </si>
  <si>
    <t>263860200338886020100100790001920244</t>
  </si>
  <si>
    <t>Поставка масла моторного</t>
  </si>
  <si>
    <t>263860200338886020100100810002223244</t>
  </si>
  <si>
    <t>Поставка строительных материалов</t>
  </si>
  <si>
    <t>263860200338886020100100820000000244</t>
  </si>
  <si>
    <t>Поставка спецодежды и других средств индивидуальной защиты</t>
  </si>
  <si>
    <t>263860200338886020100100830002211244</t>
  </si>
  <si>
    <t>Поставка автомобильных шин</t>
  </si>
  <si>
    <t>263860200338886020100100840001712244</t>
  </si>
  <si>
    <t>263860200338886020100100850001107244</t>
  </si>
  <si>
    <t>Поставка воды питьевой</t>
  </si>
  <si>
    <t>263860200338886020100100860000000244</t>
  </si>
  <si>
    <t>Поставка бумаги и канцелярских товаров</t>
  </si>
  <si>
    <t>263860200338886020100100870001392244</t>
  </si>
  <si>
    <t>Поставка флагов</t>
  </si>
  <si>
    <t>263860200338886020100100890005819244</t>
  </si>
  <si>
    <t>Изготовление и тиражирование полиграфической и печатной продукции</t>
  </si>
  <si>
    <t>263860200338886020100100900003101244</t>
  </si>
  <si>
    <t>Поставка кресел офисных</t>
  </si>
  <si>
    <t>263860200338886020100100910001722244</t>
  </si>
  <si>
    <t>Поставка бумаги туалетной</t>
  </si>
  <si>
    <t>263860200338886020100100920002812244</t>
  </si>
  <si>
    <t>Поставка цилиндров паровых</t>
  </si>
  <si>
    <t>263860200338886020100100930000000244</t>
  </si>
  <si>
    <t>Поставка сантехнических материалов</t>
  </si>
  <si>
    <t>263860200338886020100100940003101244</t>
  </si>
  <si>
    <t>263860200338886020100100950000000244</t>
  </si>
  <si>
    <t>Поставка товаров хозяйственно-бытового назначения</t>
  </si>
  <si>
    <t>263860200338886020100100960002823244</t>
  </si>
  <si>
    <t>Поставка калькуляторов</t>
  </si>
  <si>
    <t>263860200338886020100100970000000244</t>
  </si>
  <si>
    <t>Поставка электроматериалов</t>
  </si>
  <si>
    <t>263860200338886020100100980002670244</t>
  </si>
  <si>
    <t>Поставка интерактивной доски почёта</t>
  </si>
  <si>
    <t>263860200338886020100101000002599244</t>
  </si>
  <si>
    <t>Поставка шкафов металлических</t>
  </si>
  <si>
    <t>263860200338886020100101010002740244</t>
  </si>
  <si>
    <t>Поставка коробов световых</t>
  </si>
  <si>
    <t>263860200338886020100101020003299244</t>
  </si>
  <si>
    <t>Поставка стенда информационного</t>
  </si>
  <si>
    <t>263860200338886020100101030000000244</t>
  </si>
  <si>
    <t>Поставка оборудования для обеспечения безопасности</t>
  </si>
  <si>
    <t>263860200338886020100101050002823244</t>
  </si>
  <si>
    <t>Поставка оригинальных расходных материалов для копировально-множительной техники и периферийного оборудования</t>
  </si>
  <si>
    <t>263860200338886020100101070004932244</t>
  </si>
  <si>
    <t>Оказание услуг по транспортному обслуживанию (услуги такси)</t>
  </si>
  <si>
    <t>263860200338886020100101100002229244</t>
  </si>
  <si>
    <t>Поставка стаканов пластиковых</t>
  </si>
  <si>
    <t>263860200338886020100101120008621244</t>
  </si>
  <si>
    <t>Оказание услуг по предрейсовым и послерейсовым медицинским осмотрам</t>
  </si>
  <si>
    <t>263860200338886020100101140008010244</t>
  </si>
  <si>
    <t>263860200338886020100101160008129244</t>
  </si>
  <si>
    <t>Оказание услуг по дератизации и дезинсекции в помещениях административных зданий</t>
  </si>
  <si>
    <t>263860200338886020100101170000000244</t>
  </si>
  <si>
    <t>Оказание услуг по проведению обязательных периодических и обязательных предварительных медицинских осмотров работников</t>
  </si>
  <si>
    <t>ноябрь, 2026</t>
  </si>
  <si>
    <t>263860200338886020100101200003700247</t>
  </si>
  <si>
    <t>Оказание услуг по откачке, вывозу и передаче на канализование жидких бытовых отходов</t>
  </si>
  <si>
    <t>263860200338886020100101260000000244</t>
  </si>
  <si>
    <t>Выполнение работ по текущему ремонту кабинетов в административном здании</t>
  </si>
  <si>
    <t>263860200338886020100101270007112244</t>
  </si>
  <si>
    <t>Выполнение работ по обследованию и инженерных изысканий конструкций здания</t>
  </si>
  <si>
    <t>263860200338886020100101280007120244</t>
  </si>
  <si>
    <t>Комплексная оценка технического состояния защитного сооружения гражданской обороны</t>
  </si>
  <si>
    <t>263860200338886020100101290008129244</t>
  </si>
  <si>
    <t>Оказание услуг по покосу травы</t>
  </si>
  <si>
    <t>263860200338886020100101300009601244</t>
  </si>
  <si>
    <t>Оказание услуг по стирке спецодежды</t>
  </si>
  <si>
    <t>263860200338886020100101310009601244</t>
  </si>
  <si>
    <t>263860200338886020100101320008122244</t>
  </si>
  <si>
    <t>Оказание услуг по мойке витражей, окон и фасадов административных зданий</t>
  </si>
  <si>
    <t>263860200338886020100101330000000244</t>
  </si>
  <si>
    <t>Оказание услуг по уборке крыш, козырьков и отмостки (территории) от снега и обледенений</t>
  </si>
  <si>
    <t>263860200338886020100101340008129244</t>
  </si>
  <si>
    <t>Оказание услуг по вывозу снега</t>
  </si>
  <si>
    <t>263860200338886020100101350000000244</t>
  </si>
  <si>
    <t>Оказание клининговых услуг</t>
  </si>
  <si>
    <t>263860200338886020100101400008020244</t>
  </si>
  <si>
    <t>263860200338886020100101410007120244</t>
  </si>
  <si>
    <t>Оказание услуг по испытанию пожарных кранов и водопроводов</t>
  </si>
  <si>
    <t>263860200338886020100101420009511244</t>
  </si>
  <si>
    <t>Оказание услуг по заправке и восстановлению картриджей</t>
  </si>
  <si>
    <t>263860200338886020100101430003700244</t>
  </si>
  <si>
    <t>Оказание услуг по устранению подпоров канализационных сетей</t>
  </si>
  <si>
    <t>263860200338886020100101440006209244</t>
  </si>
  <si>
    <t>Оказание услуг по эксплуатационно-техническому обслуживанию интегрированных аппаратных комплексов конференц-систем</t>
  </si>
  <si>
    <t>263860200338886020100101450003312244</t>
  </si>
  <si>
    <t>Оказание услуг по техническому сервисному обслуживанию приборов коммерческого учета и оборудования систем управления тепловодоснабжения здания</t>
  </si>
  <si>
    <t>263860200338886020100101470003312244</t>
  </si>
  <si>
    <t>Оказание услуг по техническому обслуживанию оборудования видеоконференцсвязи</t>
  </si>
  <si>
    <t>263860200338886020100101480003312244</t>
  </si>
  <si>
    <t>Оказание услуг по техническому обслуживанию арочных металлодетекторов</t>
  </si>
  <si>
    <t>263860200338886020100101490003312244</t>
  </si>
  <si>
    <t>Оказание услуг по техническому обслуживанию систем вентиляции, кондиционирования</t>
  </si>
  <si>
    <t>263860200338886020100101500003312244</t>
  </si>
  <si>
    <t>Оказание услуг по техническому обслуживанию подъемно-транспортного оборудования</t>
  </si>
  <si>
    <t>263860200338886020100101510007120244</t>
  </si>
  <si>
    <t>Оказание услуг по проведению технического освидетельствования и электроизмерительных работ подъемно-транспортного оборудования</t>
  </si>
  <si>
    <t>263860200338886020100101530003312244</t>
  </si>
  <si>
    <t>Оказание услуг по техническому обслуживанию и ремонту систем кондиционирования с использованием запасных частей</t>
  </si>
  <si>
    <t>263860200338886020100101540003312244</t>
  </si>
  <si>
    <t>Оказание услуг по техническому обслуживанию и ремонту рольставен с использованием запасных частей</t>
  </si>
  <si>
    <t>263860200338886020100101550003312244</t>
  </si>
  <si>
    <t>Оказание услуг по техническому обслуживанию и ремонту кондиционеров с использованием запасных частей</t>
  </si>
  <si>
    <t>263860200338886020100101560003312244</t>
  </si>
  <si>
    <t>263860200338886020100101570003312244</t>
  </si>
  <si>
    <t>Оказание услуг по техническому обслуживанию аппаратных и программных средств, направленных на ограничение и санкционирование доступа людей, транспорта в (из) помещений, зданий, зон и территорий</t>
  </si>
  <si>
    <t>263860200338886020100101580003312244</t>
  </si>
  <si>
    <t>263860200338886020100101600004520244</t>
  </si>
  <si>
    <t>Оказание услуг по техническому обслуживанию и ремонту автотранспортных средств и спецтехники с использованием запасных частей и расходных материалов</t>
  </si>
  <si>
    <t>263860200338886020100101620008010244</t>
  </si>
  <si>
    <t>263860200338886020100101630006209244</t>
  </si>
  <si>
    <t>Оказание услуг по эксплуатационно-техническому обслуживанию интегрированного аппаратного комплекса зала заседаний Думы города Сургута</t>
  </si>
  <si>
    <t>263860200338886020100101640006209244</t>
  </si>
  <si>
    <t>273860200338886020100100200001920244</t>
  </si>
  <si>
    <t>273860200338886020100100230002223244</t>
  </si>
  <si>
    <t>273860200338886020100100240000000244</t>
  </si>
  <si>
    <t>273860200338886020100100250002211244</t>
  </si>
  <si>
    <t>273860200338886020100100260001712244</t>
  </si>
  <si>
    <t>апрель, 2027</t>
  </si>
  <si>
    <t>273860200338886020100100270000000244</t>
  </si>
  <si>
    <t>273860200338886020100100280001392244</t>
  </si>
  <si>
    <t>273860200338886020100100290005819244</t>
  </si>
  <si>
    <t>273860200338886020100100300001107244</t>
  </si>
  <si>
    <t>273860200338886020100100310000000244</t>
  </si>
  <si>
    <t>273860200338886020100100320000000244</t>
  </si>
  <si>
    <t>273860200338886020100100330002823244</t>
  </si>
  <si>
    <t>май, 2027</t>
  </si>
  <si>
    <t>273860200338886020100100350004932244</t>
  </si>
  <si>
    <t>273860200338886020100100370008621244</t>
  </si>
  <si>
    <t>ноябрь, 2027</t>
  </si>
  <si>
    <t>273860200338886020100100390008010244</t>
  </si>
  <si>
    <t>октябрь, 2027</t>
  </si>
  <si>
    <t>273860200338886020100100410008129244</t>
  </si>
  <si>
    <t>273860200338886020100100420000000244</t>
  </si>
  <si>
    <t>273860200338886020100100440003700247</t>
  </si>
  <si>
    <t>273860200338886020100100470009601244</t>
  </si>
  <si>
    <t>273860200338886020100100480008122244</t>
  </si>
  <si>
    <t>Оказание услуг по мойке витражей и окон административных зданий</t>
  </si>
  <si>
    <t>273860200338886020100100490008122244</t>
  </si>
  <si>
    <t>август, 2027</t>
  </si>
  <si>
    <t>273860200338886020100100500008129244</t>
  </si>
  <si>
    <t>273860200338886020100100510000000244</t>
  </si>
  <si>
    <t>273860200338886020100100540008020244</t>
  </si>
  <si>
    <t>273860200338886020100100550007120244</t>
  </si>
  <si>
    <t>273860200338886020100100560003700244</t>
  </si>
  <si>
    <t>273860200338886020100100570006209244</t>
  </si>
  <si>
    <t>273860200338886020100100580003312244</t>
  </si>
  <si>
    <t>273860200338886020100100600003312244</t>
  </si>
  <si>
    <t>273860200338886020100100610003312244</t>
  </si>
  <si>
    <t>273860200338886020100100620003312244</t>
  </si>
  <si>
    <t>273860200338886020100100630003312244</t>
  </si>
  <si>
    <t>273860200338886020100100640007120244</t>
  </si>
  <si>
    <t>273860200338886020100100650003312244</t>
  </si>
  <si>
    <t>273860200338886020100100660003312244</t>
  </si>
  <si>
    <t>сентябрь, 2027</t>
  </si>
  <si>
    <t>273860200338886020100100670003312244</t>
  </si>
  <si>
    <t>273860200338886020100100690003314244</t>
  </si>
  <si>
    <t>Оказание услуг по техническому обслуживанию и ремонту дизель - генераторов с использованием запасных частей</t>
  </si>
  <si>
    <t>273860200338886020100100700003312244</t>
  </si>
  <si>
    <t>273860200338886020100100710003312244</t>
  </si>
  <si>
    <t>273860200338886020100100720004520244</t>
  </si>
  <si>
    <t>273860200338886020100100730006209244</t>
  </si>
  <si>
    <t>283860200338886020100100010001920244</t>
  </si>
  <si>
    <t>июнь, 2028</t>
  </si>
  <si>
    <t>283860200338886020100100040002223244</t>
  </si>
  <si>
    <t>283860200338886020100100050000000244</t>
  </si>
  <si>
    <t>апрель, 2028</t>
  </si>
  <si>
    <t>283860200338886020100100060002211244</t>
  </si>
  <si>
    <t>283860200338886020100100070001712244</t>
  </si>
  <si>
    <t>283860200338886020100100080000000244</t>
  </si>
  <si>
    <t>283860200338886020100100090001392244</t>
  </si>
  <si>
    <t>283860200338886020100100100005819244</t>
  </si>
  <si>
    <t>283860200338886020100100110001107244</t>
  </si>
  <si>
    <t>283860200338886020100100120000000244</t>
  </si>
  <si>
    <t>283860200338886020100100130000000244</t>
  </si>
  <si>
    <t>283860200338886020100100140002823244</t>
  </si>
  <si>
    <t>май, 2028</t>
  </si>
  <si>
    <t>283860200338886020100100150004932244</t>
  </si>
  <si>
    <t>283860200338886020100100170008129244</t>
  </si>
  <si>
    <t>283860200338886020100100180008122244</t>
  </si>
  <si>
    <t>283860200338886020100100190007120244</t>
  </si>
  <si>
    <t>283860200338886020100100200007120244</t>
  </si>
  <si>
    <t>283860200338886020100100210003312244</t>
  </si>
  <si>
    <t>Итого предусмотрено на осуществление закупок в текущем году по МКУ "ХЭУ":</t>
  </si>
  <si>
    <t>Итого предусмотрено на осуществление закупок на первый год планового периода по МКУ "ХЭУ":</t>
  </si>
  <si>
    <t>Итого предусмотрено на осуществление закупок на второй год планового периода по МКУ "ХЭУ":</t>
  </si>
  <si>
    <t>263860230066286020100100030000000244</t>
  </si>
  <si>
    <t>Услуги по уборке помещений и крыльца</t>
  </si>
  <si>
    <t>электронынй аукцион</t>
  </si>
  <si>
    <t>ноябрь,  2026</t>
  </si>
  <si>
    <t>МКУ "Муниципальный архив города Сургута"</t>
  </si>
  <si>
    <t>Итого предусмотрено на осуществление закупок в текущем году по МКУ "Муниципальный архив города Сургута":</t>
  </si>
  <si>
    <t>МКУ "ЛПХ"</t>
  </si>
  <si>
    <t>263860200333186020100100810008129244</t>
  </si>
  <si>
    <t>Оказание услуг по уборке территорий общего пользования от прошлогодней листвы(под грабли)</t>
  </si>
  <si>
    <t>263860200333186020100100820008130244</t>
  </si>
  <si>
    <t>Выполнение работ по ремонту газонов на территориях общего пользования</t>
  </si>
  <si>
    <t>февраль,2026</t>
  </si>
  <si>
    <t>263860200333186020100100830000210244</t>
  </si>
  <si>
    <t>Выполнение работ по посадке саженцев кустарника в двухрядную живую изгородь</t>
  </si>
  <si>
    <t>263860200333186020100100840000210244</t>
  </si>
  <si>
    <t>Поставка саженцев деревьев и кустарников</t>
  </si>
  <si>
    <t>263860200333186020100100850000210244</t>
  </si>
  <si>
    <t>Выполнение работ по уходу за саженцами кустарника на территориях общего пользования города Сургута</t>
  </si>
  <si>
    <t>263860200333186020100100860008130244</t>
  </si>
  <si>
    <t>Выполнение работ по кошению газонов</t>
  </si>
  <si>
    <t>263860200333186020100100880004520244</t>
  </si>
  <si>
    <t>Оказание услуг по техническому обслуживанию и ремонту автотранспортных средств для обеспечения муниципальных нужд</t>
  </si>
  <si>
    <t>263860200333186020100100890004520244</t>
  </si>
  <si>
    <t>Оказание услуг по техническому обслуживанию и ремонту грузовых автотранспортных средств,тракторов и автобусов</t>
  </si>
  <si>
    <t>263860200333186020100100900004520244</t>
  </si>
  <si>
    <t>Оказание услуг по ремонту и техническому обслуживанию автотранспортного средства</t>
  </si>
  <si>
    <t>263860200333186020100100910008129244</t>
  </si>
  <si>
    <t>Оказание услуг по обслуживанию автономных модульных туалетов</t>
  </si>
  <si>
    <t>263860200333186020100100940004299244</t>
  </si>
  <si>
    <t>Выполнение работ по обустройству детской площадки  в "Парке "Кедровый Лог"</t>
  </si>
  <si>
    <t>263860200333186020100100950004299244</t>
  </si>
  <si>
    <t>Выполнение работ по обустройству детского спортивного комплекса и детского игрового комплекса в "Парке "Кедровый Лог"</t>
  </si>
  <si>
    <t>263860200333186020100100960004299244</t>
  </si>
  <si>
    <t>Выполнение работ по обустройству детской площадки в "Сквер энергетиков имени В.Г. Губачева"</t>
  </si>
  <si>
    <t>263860200333186020100100980004299244</t>
  </si>
  <si>
    <t>Выполнение работ по обустройству детской спортивной площадки в "Парке "За Саймой"</t>
  </si>
  <si>
    <t>263860200333186020100101000000000244</t>
  </si>
  <si>
    <t>Поставка смывающих и обезвреживающих средств</t>
  </si>
  <si>
    <t>263860200333186020100101010004299244</t>
  </si>
  <si>
    <t>Выполнение работ по восстановлению резинового покрытия спортивной площадки на объекте:"Сквер в 31 мкр"</t>
  </si>
  <si>
    <t>263860200333186020100101020004299244</t>
  </si>
  <si>
    <t>Выполнение работ по благоустройству детской игровой площадки для детей с ограниченными возможностями, расположенной на объекте:"Сквер в 32 мкр"</t>
  </si>
  <si>
    <t>263860200333186020100101030004299244</t>
  </si>
  <si>
    <t>Выполнение работ по благоустройству детской игровой площадки на объекте:"Сквер в 32 мкр"</t>
  </si>
  <si>
    <t>263860200333186020100101040001920244</t>
  </si>
  <si>
    <t>Поставка дизельного топлива</t>
  </si>
  <si>
    <t>263860200333186020100101100008130244</t>
  </si>
  <si>
    <t>263860200333186020100101110008130244</t>
  </si>
  <si>
    <t>273860200333186020100100870000240244</t>
  </si>
  <si>
    <t>Выполнение работ по санитарным рубкам и рубкам по очистке леса от захламленности</t>
  </si>
  <si>
    <t>февраль,2027</t>
  </si>
  <si>
    <t>273860200333186020100100900008129244</t>
  </si>
  <si>
    <t>март,2027</t>
  </si>
  <si>
    <t>273860200333186020100100910000210244</t>
  </si>
  <si>
    <t>273860200333186020100100920003312244</t>
  </si>
  <si>
    <t>Оказание услуг по техническому обслуживанию внутренних и наружных инженерных сетей и узлов коммерческого учета</t>
  </si>
  <si>
    <t>273860200333186020100100940000000244</t>
  </si>
  <si>
    <t>Оказание услуг по  техническому обслуживанию и заправке сжиженным  газом групповой резервуарной  установки  №1 «Вечный огонь" на "Мемориале Славы" в г. Сургуте</t>
  </si>
  <si>
    <t>273860200333186020100100950008010244</t>
  </si>
  <si>
    <t>273860200333186020100100970008010244</t>
  </si>
  <si>
    <t>273860200333186020100100980008129244</t>
  </si>
  <si>
    <t>Оказание услуг по обеспечению мест отдыха у воды туалетными кабинами и их текущему содержанию</t>
  </si>
  <si>
    <t>273860200333186020100100990003811244</t>
  </si>
  <si>
    <t>Оказание услуг по уборке  мест несанкционированного размещения отработанных автомобильных шин</t>
  </si>
  <si>
    <t>273860200333186020100101020000000244</t>
  </si>
  <si>
    <t>273860200333186020100101030000210244</t>
  </si>
  <si>
    <t>273860200333186020100101040004520244</t>
  </si>
  <si>
    <t>273860200333186020100101100008129244</t>
  </si>
  <si>
    <t>Оказание услуг по  зимнему содержание пешеходных дорожек, площадок на территориях общего пользования в городе Сургуте</t>
  </si>
  <si>
    <t>273860200333186020100101120008129244</t>
  </si>
  <si>
    <t>Оказание услуг  по содержанию детских игровых и спортивных площадок  на территориях общего пользования города Сургута</t>
  </si>
  <si>
    <t>273860200333186020100101130008621244</t>
  </si>
  <si>
    <t>Оказание услуг по проведению предварительных  медицинских осмотров работников</t>
  </si>
  <si>
    <t>283860200333186020100100080000240244</t>
  </si>
  <si>
    <t>январь,2028</t>
  </si>
  <si>
    <t>283860200333186020100100110008129244</t>
  </si>
  <si>
    <t>283860200333186020100100120000210244</t>
  </si>
  <si>
    <t>283860200333186020100100130003312244</t>
  </si>
  <si>
    <t>283860200333186020100100150000000244</t>
  </si>
  <si>
    <t>283860200333186020100100160008010244</t>
  </si>
  <si>
    <t>283860200333186020100100180008010244</t>
  </si>
  <si>
    <t>283860200333186020100100190008129244</t>
  </si>
  <si>
    <t>февраль,2028</t>
  </si>
  <si>
    <t>283860200333186020100100200003811244</t>
  </si>
  <si>
    <t>283860200333186020100100230000000244</t>
  </si>
  <si>
    <t>283860200333186020100100240000210244</t>
  </si>
  <si>
    <t>283860200333186020100100250004520244</t>
  </si>
  <si>
    <t>283860200333186020100100330008129244</t>
  </si>
  <si>
    <t>март,2028</t>
  </si>
  <si>
    <t>283860200333186020100100340008621244</t>
  </si>
  <si>
    <t>Итого предусмотрено на осуществление закупок в текущем году по МКУ "ЛПХ":</t>
  </si>
  <si>
    <t>Итого предусмотрено на осуществление закупок на первый год планового периода по МКУ "ЛПХ":</t>
  </si>
  <si>
    <t>Итого предусмотрено на осуществление закупок на второй год планового периода по МКУ "ЛПХ":</t>
  </si>
  <si>
    <t>МКУ "ДДТиЖКК"</t>
  </si>
  <si>
    <t>263860200041186020100100140003822244</t>
  </si>
  <si>
    <t>Оказание услуг по сбору, транспортированию и утилизации отходов, не относящихся к твердым коммунальным</t>
  </si>
  <si>
    <t>263860200041186020100100170004211244</t>
  </si>
  <si>
    <t>Приспособление общего имущества (придомовой территории) в многоквартирном доме с учетом потребностей инвалидов</t>
  </si>
  <si>
    <t>263860200041186020100100190001812244</t>
  </si>
  <si>
    <t>Изготовление и установка (замена) маршрутных указателей (информационных аппликаций) на остановочных пунктах общественного транспорта г.Сургута</t>
  </si>
  <si>
    <t>263860200041186020100100230003811244</t>
  </si>
  <si>
    <t>Оказание услуг по сбору, транспортированию, утилизации, обезвреживанию, размещению отходов, не относящихся к твердым коммунальным</t>
  </si>
  <si>
    <t>263860200041186020100100250008129244</t>
  </si>
  <si>
    <t>Дезинфекция, дератизация и дезинсекция площадок накопления твердых коммунальных отходов</t>
  </si>
  <si>
    <t>263860200041186020100100260008129244</t>
  </si>
  <si>
    <t>Промывка и дезинфекция контейнеров для накопления твердых коммунальных отходов</t>
  </si>
  <si>
    <t>263860200041186020100100470004211244</t>
  </si>
  <si>
    <t>Ремонт коллекторов системы ливневой канализации</t>
  </si>
  <si>
    <t>263860200041186020100100500007112243</t>
  </si>
  <si>
    <t>Проектно-изыскательские работы по капитальному ремонту объекта: Дорога автомобильная. Улица Майская</t>
  </si>
  <si>
    <t>263860200041186020100100510007112243</t>
  </si>
  <si>
    <t>Проектно-изыскательские работы по капитальному ремонту объекта: Дорога автомобильная. Андреевский заезд</t>
  </si>
  <si>
    <t>263860200041186020100100520007112243</t>
  </si>
  <si>
    <t>Проектно-изыскательские работы по капитальному ремонту объекта: Дорога автомобильная. Улица Пионерная (от улицы Виктора Васильева до дороги на п. Финский)</t>
  </si>
  <si>
    <t>263860200041186020100100530007112243</t>
  </si>
  <si>
    <t>Проектно-изыскательские работы по капитальному ремонту объекта: Дорога автомобильная. Улица Григория Кукуевицкого (от улицы Магистральной до проспекта Ленина)</t>
  </si>
  <si>
    <t>263860200041186020100100540007112243</t>
  </si>
  <si>
    <t>Проектно-изыскательские работы по капитальному ремонту объекта: Дорога автомобильная по улице Технологическая</t>
  </si>
  <si>
    <t>263860200041186020100100550007112243</t>
  </si>
  <si>
    <t>Проектно-изыскательские работы по капитальному ремонту объекта: Внутриквартальный проезд от ул Мелик-Карамова 76 А и до улицы Федорова, 5/3</t>
  </si>
  <si>
    <t>263860200041186020100100560007112243</t>
  </si>
  <si>
    <t>Проектно-изыскательские работы по устройству линий уличного освещения: Дорога автомобильная. Улица Профсоюзов (от ул. Лермонтова до ул. Островского)</t>
  </si>
  <si>
    <t>263860200041186020100100570007112243</t>
  </si>
  <si>
    <t>Проектно-изыскательские работы по капитальному ремонту мостового сооружения: "Мост через р. Сайма"</t>
  </si>
  <si>
    <t>263860200041186020100100610009499244</t>
  </si>
  <si>
    <t>Оказание услуг по осуществлению деятельности по обращению с животными без владельцев*</t>
  </si>
  <si>
    <t>263860200041186020100100630002223244</t>
  </si>
  <si>
    <t>Поставка и установка пластиковых  евроконтейнеров без крышки на колесах 1100 л для накопления твердых коммунальных отходов</t>
  </si>
  <si>
    <t>263860200041186020100100640004299244</t>
  </si>
  <si>
    <t>Поставка, сборка, установка шкафов накопления твердых коммунальных отходов</t>
  </si>
  <si>
    <t>263860200041186020100100650008129244</t>
  </si>
  <si>
    <t>Оказание услуг по содержанию мест (площадок) накопления твердых коммунальных отходов</t>
  </si>
  <si>
    <t>263860200041186020100100660008129244</t>
  </si>
  <si>
    <t>Оказание услуг по содержанию мест (площадок) накопления твердых коммунальных отходов садоводческих товариществ</t>
  </si>
  <si>
    <t>263860200041186020100100670004932244</t>
  </si>
  <si>
    <t>Оказание автотранспортных услуг (легковой автотранспорт)</t>
  </si>
  <si>
    <t>263860200041186020100100680004932244</t>
  </si>
  <si>
    <t>Оказание услуг по организации перевозок пассажиров и багажа легковыми такси</t>
  </si>
  <si>
    <t>263860200041186020100100700009609244</t>
  </si>
  <si>
    <t>Обеспечение биотуалетами общегородских праздничных мероприятий</t>
  </si>
  <si>
    <t>263860200041186020100100720008121244</t>
  </si>
  <si>
    <t>Санитарное содержание и обслуживание административных и бытовых помещений ул. 30 лет Победы, 17, ул. Промышленная 12/2</t>
  </si>
  <si>
    <t>263860200041186020100100730008129244</t>
  </si>
  <si>
    <t>Оказание услуг по уборке прилегающей территории административного здания ул. 30 лет Победы, д.17, ул. Промышленная, д.12/2.</t>
  </si>
  <si>
    <t>263860200041186020100100740003822244</t>
  </si>
  <si>
    <t>263860200041186020100100750003811244</t>
  </si>
  <si>
    <t>263860200041186020100100760008129244</t>
  </si>
  <si>
    <t>263860200041186020100100860008425244</t>
  </si>
  <si>
    <t>Выполнение работ по противопаводковым мероприятиям в жилом секторе на территории г. Сургута*</t>
  </si>
  <si>
    <t>263860200041186020100100910007120244</t>
  </si>
  <si>
    <t>Инструментальная диагностика (оценка технического состояния) улично-дорожной сети муниципального образования Сургут</t>
  </si>
  <si>
    <t>263860200041186020100100940004211244</t>
  </si>
  <si>
    <t>Содержание проездов к жилым строениям  в поселках города</t>
  </si>
  <si>
    <t>263860200041186020100100950004211244</t>
  </si>
  <si>
    <t>Выполнение работ по восстановлению покрытий и малых архитектурных форм</t>
  </si>
  <si>
    <t>263860200041186020100100960004399244</t>
  </si>
  <si>
    <t>Выполнение работ по поставке и установке малых архитектурных форм</t>
  </si>
  <si>
    <t>263860200041186020100100970007112244</t>
  </si>
  <si>
    <t>Проектно-изыскательские работы по устройству светофорных объектов</t>
  </si>
  <si>
    <t>273860200041186020100100060001812244</t>
  </si>
  <si>
    <t>273860200041186020100100140004211243</t>
  </si>
  <si>
    <t>273860200041186020100100240008121244</t>
  </si>
  <si>
    <t>273860200041186020100100250008129244</t>
  </si>
  <si>
    <t>273860200041186020100100260002223244</t>
  </si>
  <si>
    <t>273860200041186020100100270004299244</t>
  </si>
  <si>
    <t>273860200041186020100100300003811244</t>
  </si>
  <si>
    <t>273860200041186020100100310008129244</t>
  </si>
  <si>
    <t>273860200041186020100100320008129244</t>
  </si>
  <si>
    <t>273860200041186020100100330008129244</t>
  </si>
  <si>
    <t>273860200041186020100100340004932244</t>
  </si>
  <si>
    <t>Оказание автотранспортных услуг на 2028 год (легковой автотранспорт).</t>
  </si>
  <si>
    <t>273860200041186020100100350009609244</t>
  </si>
  <si>
    <t>273860200041186020100100360008425244</t>
  </si>
  <si>
    <t>Выполнение работ по противопаводковым мероприятиям в жилом секторе на территории г. Сургута</t>
  </si>
  <si>
    <t>273860200041186020100100430004211244</t>
  </si>
  <si>
    <t>273860200041186020100100450004211244</t>
  </si>
  <si>
    <t>273860200041186020100100180004932244</t>
  </si>
  <si>
    <t>Оказание услуг по организации перевозок пассажиров и багажа легковыми такси в 2028 году</t>
  </si>
  <si>
    <t>283860200041186020100100010004211244</t>
  </si>
  <si>
    <t>283860200041186020100100020001812244</t>
  </si>
  <si>
    <t>283860200041186020100100100008129244</t>
  </si>
  <si>
    <t>283860200041186020100100110002223244</t>
  </si>
  <si>
    <t>283860200041186020100100120004299244</t>
  </si>
  <si>
    <t>283860200041186020100100180004211244</t>
  </si>
  <si>
    <t>283860200041186020100100190004211244</t>
  </si>
  <si>
    <t>Итого предусмотрено на осуществление закупок в текущем году по МКУ "ДДТиЖКК":</t>
  </si>
  <si>
    <t>Итого предусмотрено на осуществление закупок на первый год планового периода по МКУ "ДДТиЖКК":</t>
  </si>
  <si>
    <t>Итого предусмотрено на осуществление закупок на второй год планового периода по МКУ "ДДТиЖКК":</t>
  </si>
  <si>
    <t>МКУ "Ритуал"</t>
  </si>
  <si>
    <t>263860228535886020100100010009603244</t>
  </si>
  <si>
    <t>Оказание услуг по перевозке гроба с телом умершего от патологоанатомического отделения (морга) до места погребения в рамках гарантированного перечня услуг по погребению</t>
  </si>
  <si>
    <t>электронный аукцион</t>
  </si>
  <si>
    <t>263860228535886020100100020004932244</t>
  </si>
  <si>
    <t>263860228535886020100100040003600247</t>
  </si>
  <si>
    <t>Оказание услуг по подвозу воды на Крематорий.</t>
  </si>
  <si>
    <t>263860228535886020100100050003700247</t>
  </si>
  <si>
    <t>Оказание услуг по откачке и транспортировке жидких бытовых отходов</t>
  </si>
  <si>
    <t>263860228535886020100100080003312244</t>
  </si>
  <si>
    <t>Оказание услуг по техническому обслуживанию и ремонту кремационной линии чешского производства TABO CS</t>
  </si>
  <si>
    <t>263860228535886020100100090008129244</t>
  </si>
  <si>
    <t>Оказание услуг по зимней механизированной уборке территории</t>
  </si>
  <si>
    <t>263860228535886020100100100007490244</t>
  </si>
  <si>
    <t>Оказание услуг аутсорсинга в области охраны труда</t>
  </si>
  <si>
    <t>263860228535886020100100110008010244</t>
  </si>
  <si>
    <t>263860228535886020100100120009603244</t>
  </si>
  <si>
    <t>Оказание услуг по копке могил и погребению умерших</t>
  </si>
  <si>
    <t>263860228535886020100100130000000244</t>
  </si>
  <si>
    <t>263860228535886020100100150009603244</t>
  </si>
  <si>
    <t>Оказание услуг по содержанию территории кладбищ муниципального образования городской округ Сургут Ханты-Мансийского автономного округа-Югры</t>
  </si>
  <si>
    <t>263860228535886020100100160004211244</t>
  </si>
  <si>
    <t>Оказание услуг по содержанию дорог и проездов  кладбищ муниципального образования городской округ Сургут ХМАО –Югры</t>
  </si>
  <si>
    <t>263860228535886020100100170009603244</t>
  </si>
  <si>
    <t>Оказание услуг по содержанию территории закрытых кладбищ муниципального образования городской округ Сургут Ханты-Мансийского автономного округа - Югры</t>
  </si>
  <si>
    <t>2638602285358860201001001800081293244</t>
  </si>
  <si>
    <t>Оказание услуг по обслуживанию автономных модульных туалетов на территории городского кладбища г. Сургута</t>
  </si>
  <si>
    <t>263860228535886020100100190001920244</t>
  </si>
  <si>
    <t>Поставка дизельного топлива (товар необходимый для нормального жизнеобеспечения)</t>
  </si>
  <si>
    <t>263860228535886020100100200008010244</t>
  </si>
  <si>
    <t>263860228535886020100100210008121244</t>
  </si>
  <si>
    <t>273860228535886020100100010009603244</t>
  </si>
  <si>
    <t>273860228535886020100100020004932244</t>
  </si>
  <si>
    <t>273860228535886020100100040003600247</t>
  </si>
  <si>
    <t>273860228535886020100100050003700247</t>
  </si>
  <si>
    <t>273860228535886020100100080003312244</t>
  </si>
  <si>
    <t>273860228535886020100100090008129244</t>
  </si>
  <si>
    <t>273860228535886020100100100007490244</t>
  </si>
  <si>
    <t>273860228535886020100100110008010244</t>
  </si>
  <si>
    <t>273860228535886020100100120009603244</t>
  </si>
  <si>
    <t>273860228535886020100100130000000244</t>
  </si>
  <si>
    <t>273860228535886020100100150009603244</t>
  </si>
  <si>
    <t>273860228535886020100100160004211244</t>
  </si>
  <si>
    <t>273860228535886020100100170009603244</t>
  </si>
  <si>
    <t>2738602285358860201001001800081293244</t>
  </si>
  <si>
    <t>273860228535886020100100190001920244</t>
  </si>
  <si>
    <t>273860228535886020100100200008010244</t>
  </si>
  <si>
    <t>273860228535886020100100210008121244</t>
  </si>
  <si>
    <t>283860228535886020100100010008129244</t>
  </si>
  <si>
    <t>май 2028</t>
  </si>
  <si>
    <t>283860228535886020100100020000000244</t>
  </si>
  <si>
    <t>Итого предусмотрено на осуществление закупок в текущем году по МКУ "Ритуал":</t>
  </si>
  <si>
    <t>Итого предусмотрено на осуществление закупок на первый год планового периода по МКУ "Ритуал":</t>
  </si>
  <si>
    <t>Итого предусмотрено на осуществление закупок на второй год планового периода по МКУ "Ритуал":</t>
  </si>
  <si>
    <t>МКУ "ДЭАЗиИС"</t>
  </si>
  <si>
    <t>263860200306786020100100600004120243</t>
  </si>
  <si>
    <t>Капитальный ремонт по обеспечению доступности МГН и ремонт помещений санузла на 1 этаже в здании МБДОУ №4 "Умка"</t>
  </si>
  <si>
    <t>263860200306786020100100610004120243</t>
  </si>
  <si>
    <t>Капитальный ремонт крылец и отмостки здания МБДОУ №22 «Сказка»</t>
  </si>
  <si>
    <t>263860200306786020100100620004120243</t>
  </si>
  <si>
    <t>263860200306786020100100760004120243</t>
  </si>
  <si>
    <t>263860200306786020100100770004391243</t>
  </si>
  <si>
    <t>263860200306786020100100780004391243</t>
  </si>
  <si>
    <t>263860200306786020100100970004329243</t>
  </si>
  <si>
    <t>Капитальный ремонт ограждения МБОУ Гимназия "Лаборатория Салахова"</t>
  </si>
  <si>
    <t>263860200306786020100101220004221243</t>
  </si>
  <si>
    <t>Капитальный ремонт сетей тепловодоснабжения МБОУ СОШ № 1</t>
  </si>
  <si>
    <t>263860200306786020100101230007112243</t>
  </si>
  <si>
    <t>Разработка проектной и рабочей документации по объекту: "Обеспечение доступности МГН и ремонт помещений санузла на 1 этаже в здании МКУ "ДЭАЗиИС" г. Сургут, Андреевский заезд, 6"</t>
  </si>
  <si>
    <t>263860200306786020100100790007112243</t>
  </si>
  <si>
    <t>Разработка проектной и рабочей документации по объекту: "Капитальный ремонт по перепрофилированию помещения под санитарный узел для МГН МБОУ СОШ №27</t>
  </si>
  <si>
    <t xml:space="preserve">апрель 2026 </t>
  </si>
  <si>
    <t>263860200306786020100100800007112243</t>
  </si>
  <si>
    <t>Разработка проектной и рабочей документации по объекту: "Капитальный ремонт внутренних помещений (блок  2) МБОУ СОШ №32</t>
  </si>
  <si>
    <t>263860200306786020100100980007112243</t>
  </si>
  <si>
    <t>Разработка проектной и рабочей документации по объекту: "Капитальный ремонт наружных сетей ТВС МАОУ ДО  "Центр плавания "Дельфин"</t>
  </si>
  <si>
    <t>263860200306786020100101000007112243</t>
  </si>
  <si>
    <t>Корректровка проектной и рабочей документации по объекту: "Капитальный ремон здания МБУДО "Детская художественная школа №1 имени. Л.А.Горды"</t>
  </si>
  <si>
    <t>263860200306786020100101010007112243</t>
  </si>
  <si>
    <t>263860200306786020100101020007112243</t>
  </si>
  <si>
    <t>Разработка проектной и рабочей документации по объекту: "Капитальный ремонт здания МБУДО "Детская школа искусств №1"</t>
  </si>
  <si>
    <t>263860200306786020100101030007112243</t>
  </si>
  <si>
    <t>Разработка проектной и рабочей документации по объекту:" Капитальный ремонт здания "МБУК "Централизованная библиотечная система", Центральная детская библиотека"</t>
  </si>
  <si>
    <t>263860200306786020100101040007112243</t>
  </si>
  <si>
    <t>Разработка проектной и рабочей документации по объекту: "Капитальный ремонт системы вентиляции и кондиционирования МБУК "Сургутский краеведческий музей", Музейный центр"</t>
  </si>
  <si>
    <t>263860200306786020100101050007112243</t>
  </si>
  <si>
    <t>Разработка проектной и рабочей документации по объекту: Капитальный ремонт здания МАУ "Многофункциональный культурно-досуговый центр" галерея современного искусства "Стерх"</t>
  </si>
  <si>
    <t>263860200306786020100100630007112243</t>
  </si>
  <si>
    <t>Разработка проектной и рабочей документации по объекту: "Капитальный ремонт здания МБДОУ № 56 "Искорка"</t>
  </si>
  <si>
    <t>263860200306786020100101090007112243</t>
  </si>
  <si>
    <t>Разработка проектной и рабочей документации по объекту: "Капитальный ремонт корта МБУ Центр физической подготовки "Надежда", универсальная спортивная площадка"</t>
  </si>
  <si>
    <t>263860200306786020100101100007112243</t>
  </si>
  <si>
    <t>Разработка проектной и рабочей документации по объекту: "Капитальный ремонт корта МБУ Центр физической подготовки "Надежда",  спортивная площадка"</t>
  </si>
  <si>
    <t>263860200306786020100101110007112243</t>
  </si>
  <si>
    <t>Разработка проектной и рабочей документации по объекту: "Капитальный ремонт корта МБУ Центр физической подготовки "Надежда",  хоккейный корт "Старт"</t>
  </si>
  <si>
    <t>263860200306786020100101130007112243</t>
  </si>
  <si>
    <t>Разработка проектной и рабочей документации по объекту: "Капитальный ремонт здания МБУ ДО СШОР "Ермак", СОК "Энергетик"</t>
  </si>
  <si>
    <t>263860200306786020100101140007112243</t>
  </si>
  <si>
    <t>Разработка проектной и рабочей документации по объекту: "Капитальный ремонт кровли , крылец и отмостки здания МБУ ДО СШОР  по зимним видам спорта "Кедр", база "Олимпия"</t>
  </si>
  <si>
    <t>263860200306786020100100640004339244</t>
  </si>
  <si>
    <t>Ремонт внутренних помещений</t>
  </si>
  <si>
    <t>263860200306786020100100650004339244</t>
  </si>
  <si>
    <t>Замена дверных блоков в дошкольных учреждениях</t>
  </si>
  <si>
    <t>263860200306786020100100660004339244</t>
  </si>
  <si>
    <t>Ремонтные работы объектов дошкольных учреждений</t>
  </si>
  <si>
    <t>263860200306786020100100670004339244</t>
  </si>
  <si>
    <t>Устройство сантехнических кабин в санитарных узлах</t>
  </si>
  <si>
    <t>263860200306786020100100680004339244</t>
  </si>
  <si>
    <t>Ремонтные работы МБДОУ №37 "Колокольчик"</t>
  </si>
  <si>
    <t>263860200306786020100100690004339244</t>
  </si>
  <si>
    <t>Ремонт по замене центральной входной двери МБДОУ №38 "Зоренька"</t>
  </si>
  <si>
    <t>263860200306786020100100700004339244</t>
  </si>
  <si>
    <t>Ремонтные работы в дошкольных учреждениях</t>
  </si>
  <si>
    <t>263860200306786020100100710004339244</t>
  </si>
  <si>
    <t>Ремонт санитарных узлов МБДОУ №89 "Крепыш"</t>
  </si>
  <si>
    <t>263860200306786020100100720004339244</t>
  </si>
  <si>
    <t>Ремонт внутренних помещений МБДОУ №74 "Филиппок"</t>
  </si>
  <si>
    <t>263860200306786020100100730004339244</t>
  </si>
  <si>
    <t>Текущий ремонт системы пожаротушения</t>
  </si>
  <si>
    <t>263860200306786020100100740004339244</t>
  </si>
  <si>
    <t>Текущий ремонт системы вентиляции</t>
  </si>
  <si>
    <t>263860200306786020100100750004339244</t>
  </si>
  <si>
    <t>Текущий ремонт системы теплоснабжения</t>
  </si>
  <si>
    <t>263860200306786020100100810004339244</t>
  </si>
  <si>
    <t>Ремонтные работы МБОУ СОШ №1</t>
  </si>
  <si>
    <t>263860200306786020100100820004339244</t>
  </si>
  <si>
    <t>Ремонт внутренних помещений МБОУ СОШ №3</t>
  </si>
  <si>
    <t>263860200306786020100100830004339244</t>
  </si>
  <si>
    <t>Ремонт внутренних помещений МБОУ СОШ № 7</t>
  </si>
  <si>
    <t>263860200306786020100100840004339244</t>
  </si>
  <si>
    <t>Ремонт внутренних помещений МБОУ СШ № 12</t>
  </si>
  <si>
    <t>263860200306786020100100850004339244</t>
  </si>
  <si>
    <t>Ремонтные работы МБОУ СОШ №15</t>
  </si>
  <si>
    <t>263860200306786020100100860004339244</t>
  </si>
  <si>
    <t>Выполнение ремонтных работ МБОУ СОШ №18 им. В.Я. Алексеева</t>
  </si>
  <si>
    <t>263860200306786020100100870004339244</t>
  </si>
  <si>
    <t>Ремонт внутренних помещений МБОУ СОШ № 19</t>
  </si>
  <si>
    <t>263860200306786020100100880004339244</t>
  </si>
  <si>
    <t>263860200306786020100100890004339244</t>
  </si>
  <si>
    <t>263860200306786020100100900004339244</t>
  </si>
  <si>
    <t>Ремонт внутренних помещений МБОУ СОШ № 26</t>
  </si>
  <si>
    <t>263860200306786020100100910004339244</t>
  </si>
  <si>
    <t>Ремонт учебных кабинетов МБОУ СОШ №29</t>
  </si>
  <si>
    <t>263860200306786020100100920004339244</t>
  </si>
  <si>
    <t>Ремонтные работы МБОУ НШ №30</t>
  </si>
  <si>
    <t>263860200306786020100100930004339244</t>
  </si>
  <si>
    <t>263860200306786020100100940004339244</t>
  </si>
  <si>
    <t>Ремонтные работы в спортивном зале МБОУ НШ "Прогимназия"</t>
  </si>
  <si>
    <t>263860200306786020100100950004339244</t>
  </si>
  <si>
    <t>Ремонт внутренних помещений МБОУ гимназия "Лаборатория Салахова"</t>
  </si>
  <si>
    <t>263860200306786020100100960004339244</t>
  </si>
  <si>
    <t>Ремонт внутренних помещений МБОУ Лицей №3</t>
  </si>
  <si>
    <t>263860200306786020100100990004339244</t>
  </si>
  <si>
    <t>Ремонт крыльца главного входа МАОУ ДО "Технополис"</t>
  </si>
  <si>
    <t>263860200306786020100101060004339244</t>
  </si>
  <si>
    <t>Ремонтные работы МБУ "Вариант"</t>
  </si>
  <si>
    <t>263860200306786020100101070004339244</t>
  </si>
  <si>
    <t>Ремонтные работы МАУ ПРСМ "Наше время"</t>
  </si>
  <si>
    <t>263860200306786020100101150004339244</t>
  </si>
  <si>
    <t>Ремонтные работы МБУ ДО СШОР "Югория" А.А. Пилояна</t>
  </si>
  <si>
    <t>263860200306786020100101160004399244</t>
  </si>
  <si>
    <t>Устройство контейнерной площадки МБУДО СШ "Югория" имени Арарата Агвановича Пилояна</t>
  </si>
  <si>
    <t>263860200306786020100101170004339244</t>
  </si>
  <si>
    <t>Ремонт кровельного ограждения МБУ ДО СШ "Виктория"</t>
  </si>
  <si>
    <t>263860200306786020100101180004339244</t>
  </si>
  <si>
    <t>Ремонт козырька над входом МБУ ДО СШОР "Кедр"</t>
  </si>
  <si>
    <t>263860200306786020100101190004339244</t>
  </si>
  <si>
    <t>Ремонтные работы МБУ ДО СШОР "Ермак", СОК "Энергетик</t>
  </si>
  <si>
    <t>263860200306786020100101200004339244</t>
  </si>
  <si>
    <t>Ремонтные работы МКУ "Наш город"</t>
  </si>
  <si>
    <t>263860200306786020100101210004322244</t>
  </si>
  <si>
    <t>Текущий ремонт подземного накопительного септика МКУ «Сургутский спасательный центр»</t>
  </si>
  <si>
    <t>263860200306786020100101240004339244</t>
  </si>
  <si>
    <t>Ремонтные работы МКУ "ДЭАЗиИС"</t>
  </si>
  <si>
    <t>263860200306786020100100580004932244</t>
  </si>
  <si>
    <t>Оказание автотранспортных услуг во 2 полугодии 2026 года (легковой автотранспорт).</t>
  </si>
  <si>
    <t>263860200306786020100100590001920244</t>
  </si>
  <si>
    <t>Поставка топлива с заправкой автотранспортных средств (товар, необходимый для нормального жизнеобеспечения) за май-декабрь 2026 года.</t>
  </si>
  <si>
    <t>263860200306786020100100500004932244</t>
  </si>
  <si>
    <t>Оказание автотранспортных услуг в 2027 году (легковой автотранспорт)</t>
  </si>
  <si>
    <t>263860200306786020100100510004939244</t>
  </si>
  <si>
    <t>Оказание автотранспортных услуг на 2027 год (микроавтобусы)</t>
  </si>
  <si>
    <t>263860200306786020100100520004932244</t>
  </si>
  <si>
    <t>263860200306786020100100560008121244</t>
  </si>
  <si>
    <t>263860200306786020100100570008010244</t>
  </si>
  <si>
    <t>Оказание охранных услуг на 2026-2027 годы</t>
  </si>
  <si>
    <t>273860200306786020100100190004339244</t>
  </si>
  <si>
    <t>Ремонт внутренних помещений МБДОУ №4 "Умка"</t>
  </si>
  <si>
    <t>273860200306786020100100200004339244</t>
  </si>
  <si>
    <t>Ремонт санитарных узлов МБДОУ №78 "Ивушка"</t>
  </si>
  <si>
    <t>273860200306786020100100210004339244</t>
  </si>
  <si>
    <t>273860200306786020100100220004339244</t>
  </si>
  <si>
    <t>273860200306786020100100230004339244</t>
  </si>
  <si>
    <t>273860200306786020100100240004339244</t>
  </si>
  <si>
    <t>273860200306786020100100250004120243</t>
  </si>
  <si>
    <t>273860200306786020100100260004120243</t>
  </si>
  <si>
    <t>273860200306786020100100270007112243</t>
  </si>
  <si>
    <t>Разработка проектной и рабочей документации по объекту:  "Капитальный ремонт здания   МБОУ СШ № 12"</t>
  </si>
  <si>
    <t>273860200306786020100100280007112243</t>
  </si>
  <si>
    <t>Разработка проектной и рабочей документации по объекту: "Капитальный ремонт системы вентиляции МБОУ СОШ №22 имени Геннадия Федотовича Пономарева"</t>
  </si>
  <si>
    <t>273860200306786020100100290007112243</t>
  </si>
  <si>
    <t>Разработка проектной и рабочей документации по объекту: "Капитальный ремонт спортзала МБОУ СОШ №45"</t>
  </si>
  <si>
    <t>273860200306786020100100860004339244</t>
  </si>
  <si>
    <t>Ремонтные работы 
в общеобразовательных учреждениях</t>
  </si>
  <si>
    <t>273860200306786020100100870004339244</t>
  </si>
  <si>
    <t>Ремонт внутренних помещений МБОУ СОШ № 18 им. В.Я. Алексеева</t>
  </si>
  <si>
    <t>273860200306786020100100880004339244</t>
  </si>
  <si>
    <t>Текущий ремонт кровли, фасада здания МБУ историко-культурный центр "Старый Сургут", ремонт строения №20</t>
  </si>
  <si>
    <t>273860200306786020100100890004339244</t>
  </si>
  <si>
    <t>Ремонтные работы МБУ ИКЦ "Старый Сургут"</t>
  </si>
  <si>
    <t>273860200306786020100100910004120243</t>
  </si>
  <si>
    <t>Капитальный ремонт фасада, кровли МБУ ДО СШОР по зимним видам спорта "Кедр", база "Олимпия"</t>
  </si>
  <si>
    <t>273860200306786020100100920004339244</t>
  </si>
  <si>
    <t>273860200306786020100100930004221243</t>
  </si>
  <si>
    <t>Капитальный ремонт наружных сетей тепловодоснабжения МБДОУ №37 «Колокольчик»</t>
  </si>
  <si>
    <t>273860200306786020100100940007112243</t>
  </si>
  <si>
    <t>Разработка проектной и рабочей документации по объекту: «Капитальный ремонт наружных сетей тепловодоснабжения МБОУ СОШ № 5»</t>
  </si>
  <si>
    <t>273860200306786020100100950004321244</t>
  </si>
  <si>
    <t>Текущий ремонт внутренних сетей освещения МБУ "Вариант"</t>
  </si>
  <si>
    <t>273860200306786020100100960004120243</t>
  </si>
  <si>
    <t>Капитальный ремонт по обеспечению доступности МГН и ремонт помещений санузла на 1 этаже в здании МКУ "ДЭАЗиИС" г. Сургут, Андреевский заезд, 6</t>
  </si>
  <si>
    <t>273860200306786020100100100004932244</t>
  </si>
  <si>
    <t>Оказание автотранспортных услуг в 2028 году (легковой автотранспорт)</t>
  </si>
  <si>
    <t>октябрь 2027</t>
  </si>
  <si>
    <t>273860200306786020100100110004939244</t>
  </si>
  <si>
    <t>Оказание автотранспортных услуг на 2028 год (микроавтобусы)</t>
  </si>
  <si>
    <t>273860200306786020100100130004932244</t>
  </si>
  <si>
    <t>273860200306786020100100170008121244</t>
  </si>
  <si>
    <t>273860200306786020100100180008010244</t>
  </si>
  <si>
    <t>Оказание охранных услуг на 2027-2028 годы</t>
  </si>
  <si>
    <t>283860200306786020100100010007112243</t>
  </si>
  <si>
    <t>Разработка проектной и рабочей документации по объекту: «Капитальный ремонт здания МБДОУ № 14 "Брусничка»</t>
  </si>
  <si>
    <t>283860200306786020100100020004339244</t>
  </si>
  <si>
    <t>Замена дверных блоков МБДОУ № 4 "Умка"</t>
  </si>
  <si>
    <t>283860200306786020100100030004339244</t>
  </si>
  <si>
    <t>Ремонт внутренних помещений МБДОУ №28 "Калинка"</t>
  </si>
  <si>
    <t>283860200306786020100100040004339244</t>
  </si>
  <si>
    <t>Ремонтные работы МБДОУ №34 "Березка"</t>
  </si>
  <si>
    <t>283860200306786020100100050004339244</t>
  </si>
  <si>
    <t>Ремонт внутренних помещений в дошкольных учреждениях</t>
  </si>
  <si>
    <t>283860200306786020100100060004339244</t>
  </si>
  <si>
    <t>Ремонт внутренних помещений МБДОУ №44 "Сибирячок"</t>
  </si>
  <si>
    <t>283860200306786020100100070004332244</t>
  </si>
  <si>
    <t>Ремонт оконных блоков МБДОУ № 61 "Лель"</t>
  </si>
  <si>
    <t>283860200306786020100100080004339244</t>
  </si>
  <si>
    <t>283860200306786020100100090004339244</t>
  </si>
  <si>
    <t>283860200306786020100100100004339244</t>
  </si>
  <si>
    <t>283860200306786020100100110004120243</t>
  </si>
  <si>
    <t>283860200306786020100100120004120243</t>
  </si>
  <si>
    <t>Капитальный ремонт внутренних помещений МБОУ СОШ № 32 *</t>
  </si>
  <si>
    <t>283860200306786020100100130004120243</t>
  </si>
  <si>
    <t>283860200306786020100100140004339244</t>
  </si>
  <si>
    <t>Ремонт внутренних помещений в образовательных учреждениях</t>
  </si>
  <si>
    <t>283860200306786020100100150004339244</t>
  </si>
  <si>
    <t>283860200306786020100100160004339244</t>
  </si>
  <si>
    <t>Ремонтные работы МБУК "Сургутский краеведческий музей"</t>
  </si>
  <si>
    <t>283860200306786020100100170004321244</t>
  </si>
  <si>
    <t>283860200306786020100100190004339244</t>
  </si>
  <si>
    <t>Ремонтные работы МБУ ДО СШОР №1</t>
  </si>
  <si>
    <t>283860200306786020100100200004339244</t>
  </si>
  <si>
    <t>283860200306786020100100210004221243</t>
  </si>
  <si>
    <t>Итого предусмотрено на осуществление закупок в текущем году по МКУ "ДЭАЗиИС":</t>
  </si>
  <si>
    <t>Итого предусмотрено на осуществление закупок на первый год планового периода по МКУ "ДЭАЗиИС":</t>
  </si>
  <si>
    <t>Итого предусмотрено на осуществление закупок на второй год планового периода по МКУ "ДЭАЗиИС":</t>
  </si>
  <si>
    <t>Капитальный ремонт крылец и отмостки здания МБДОУ №22 «Сказка» *</t>
  </si>
  <si>
    <t>Капитальный ремонт фасада здания МБОУ СОШ №7 *</t>
  </si>
  <si>
    <t>Капитальный ремонт кровли здания МБОУ НШ № 30 *</t>
  </si>
  <si>
    <t>Капитальный ремонт кровли 1 этап (2 корпуса) МБОУ СОШ № 32 *</t>
  </si>
  <si>
    <t>Ремонт внутренних помещений МБОУ СОШ № 20 *</t>
  </si>
  <si>
    <t xml:space="preserve">Ремонт внутренних помещений МБОУ СОШ № 24 * </t>
  </si>
  <si>
    <t>Ремонт внутренних помещений МБОУ СОШ № 32 *</t>
  </si>
  <si>
    <t>Капитальный ремонт фасада, крылец, кровли МБОУ СОШ №7 *</t>
  </si>
  <si>
    <t>Капитальный ремонт системы вентиляции МБОУ СОШ №22 имени Геннадия Федотовича Пономарева *</t>
  </si>
  <si>
    <t>Капитальный ремонт помещений пищеблока МБОУ лицей имени генерал-майора Хисматулина В.И. *</t>
  </si>
  <si>
    <t>Капитальный ремонт наружных сетей тепловодоснабжения МБОУ СОШ № 5 *</t>
  </si>
  <si>
    <t>МБУ ДО СШОР "Кедр"</t>
  </si>
  <si>
    <t>263860200365286020100100240003700247</t>
  </si>
  <si>
    <t>Оказание услуг по откачке и вывозу сточных вод из септиков</t>
  </si>
  <si>
    <t>263860200365286020100100290003700247</t>
  </si>
  <si>
    <t>263860200365286020100100280008010244</t>
  </si>
  <si>
    <t>263860200365286020100100340004939244</t>
  </si>
  <si>
    <t>Оказание автотранспортных услуг по перевозке организованных групп детей на территории Ханты-Мансийского автономного округа-Югры</t>
  </si>
  <si>
    <t>263860200365286020100100330008129244</t>
  </si>
  <si>
    <t>263860200365286020100100310008621244</t>
  </si>
  <si>
    <t>Оказание услуг по проведению медицинского осмотра по программе углубленного медицинского обследования (УМО) лиц, обучающихся спорту</t>
  </si>
  <si>
    <t>263860200365286020100100320008121244</t>
  </si>
  <si>
    <t>273860200365286020100100120003700247</t>
  </si>
  <si>
    <t>273860200365286020100100100008010244</t>
  </si>
  <si>
    <t>273860200365286020100100150008129244</t>
  </si>
  <si>
    <t>273860200365286020100100130008621244</t>
  </si>
  <si>
    <t>273860200365286020100100140008121244</t>
  </si>
  <si>
    <t>Итого предусмотрено на осуществление закупок в текущем году по МБУ ДО СШОР "Кедр":</t>
  </si>
  <si>
    <t>Итого предусмотрено на осуществление закупок на первый год планового периода по МБУ ДО СШОР "Кедр":</t>
  </si>
  <si>
    <t>263860200312386020100100040008121244</t>
  </si>
  <si>
    <t>263860200312386020100100030008621244</t>
  </si>
  <si>
    <t>27 3860200312386020100100090008010244</t>
  </si>
  <si>
    <t>27 3860200312386020100100100008121244</t>
  </si>
  <si>
    <t>27 3860200312386020100100110008621244</t>
  </si>
  <si>
    <t>263860200290986020100100240005829244</t>
  </si>
  <si>
    <t>263860200290986020100100200003213244</t>
  </si>
  <si>
    <t>263860200290986020100100360008010244</t>
  </si>
  <si>
    <t>263860200290986020100100260008621244</t>
  </si>
  <si>
    <t>263860200290986020100100330008129244</t>
  </si>
  <si>
    <t>26 3860200290986020100100180008621244</t>
  </si>
  <si>
    <t>26 3860200290986020100100340008121244</t>
  </si>
  <si>
    <t>26 3860200290986020100100250008010244</t>
  </si>
  <si>
    <t>27 3860200290986020100100070005829244</t>
  </si>
  <si>
    <t>27 3860200290986020100100090008621244</t>
  </si>
  <si>
    <t>27 3860200290986020100100160008129244</t>
  </si>
  <si>
    <t>27 3860200290986020100100060003213244</t>
  </si>
  <si>
    <t>27 3860200290986020100100040008621244</t>
  </si>
  <si>
    <t>27 3860200290986020100100170008121244</t>
  </si>
  <si>
    <t>27 3860200290986020100100080008010244</t>
  </si>
  <si>
    <t>28 3860200290986020100100020005829244</t>
  </si>
  <si>
    <t>28 3860200290986020100100010003213244</t>
  </si>
  <si>
    <t>26 3860217954386020100100270008010244</t>
  </si>
  <si>
    <t>26 3860217954386020100100280008010244</t>
  </si>
  <si>
    <t>26 3860217954386020100100290008020244</t>
  </si>
  <si>
    <t>26 3860217954386020100100300004932244</t>
  </si>
  <si>
    <t>26 3860217954386020100100310008121244</t>
  </si>
  <si>
    <t>26 3860217954386020100100320003313244</t>
  </si>
  <si>
    <t>26 3860217954386020100100330008129244</t>
  </si>
  <si>
    <t>26 3860217954386020100100340008122244</t>
  </si>
  <si>
    <t>26 3860217954386020100100350001712244</t>
  </si>
  <si>
    <t>26 3860217954386020100100360008122244</t>
  </si>
  <si>
    <t>26 3860217954386020100100390008121244</t>
  </si>
  <si>
    <t>26 3860217954386020100100430003101244</t>
  </si>
  <si>
    <t>26 3860217954386020100100440003299244</t>
  </si>
  <si>
    <t>27 3860217954386020100100080008010244</t>
  </si>
  <si>
    <t>27 3860217954386020100100090008010244</t>
  </si>
  <si>
    <t>27 3860217954386020100100100008020244</t>
  </si>
  <si>
    <t>27 3860217954386020100100110004932244</t>
  </si>
  <si>
    <t>27 3860217954386020100100120008121244</t>
  </si>
  <si>
    <t>27 3860217954386020100100130003313244</t>
  </si>
  <si>
    <t>27 3860217954386020100100140008129244</t>
  </si>
  <si>
    <t>27 3860217954386020100100150008122244</t>
  </si>
  <si>
    <t>27 3860217954386020100100160008122244</t>
  </si>
  <si>
    <t>27 3860217954386020100100190008121244</t>
  </si>
  <si>
    <t>28 3860217954386020100100020008010244</t>
  </si>
  <si>
    <t>28 3860217954386020100100030008122244</t>
  </si>
  <si>
    <t>28 3860217954386020100100040008122244</t>
  </si>
  <si>
    <t>28 3860217954386020100100050008121244</t>
  </si>
  <si>
    <t>26 3860206183086020100100710001413244</t>
  </si>
  <si>
    <t>26 38602061830860201001 00800004932244</t>
  </si>
  <si>
    <t>26 3860206183086020100100810008121244</t>
  </si>
  <si>
    <t>26 3860206183086020100100860008020244</t>
  </si>
  <si>
    <t>26 3860206183086020100100690008230244</t>
  </si>
  <si>
    <t>26 3860206183086020100100750007320244</t>
  </si>
  <si>
    <t>26 3860206183086020100100770001811244</t>
  </si>
  <si>
    <t>26 3860206183086020100100760005320244</t>
  </si>
  <si>
    <t>26 3860206183086020100100850008010244</t>
  </si>
  <si>
    <t>26 3860206183086020100100700005811244</t>
  </si>
  <si>
    <t>26 3860206183086020100100830008121244</t>
  </si>
  <si>
    <t>26 3860206183086020100100720004932244</t>
  </si>
  <si>
    <t>26 3860206183086020100100820008121244</t>
  </si>
  <si>
    <t>26 3860206183086020100100880003313244</t>
  </si>
  <si>
    <t>27 3860206183086020100100190001413244</t>
  </si>
  <si>
    <t>27 3860206183086020100100170008230244</t>
  </si>
  <si>
    <t>27 3860206183086020100100210007320244</t>
  </si>
  <si>
    <t>27 3860206183086020100100180005811244</t>
  </si>
  <si>
    <t>28 3860206183086020100100030001413244</t>
  </si>
  <si>
    <t>28 3860206183086020100100130004932244</t>
  </si>
  <si>
    <t>28 3860206183086020100100160008121244</t>
  </si>
  <si>
    <t>28 3860206183086020100100220008020244</t>
  </si>
  <si>
    <t>28 3860206183086020100100010008230244</t>
  </si>
  <si>
    <t>28 3860206183086020100100040007320244</t>
  </si>
  <si>
    <t>28 3860206183086020100100060001811244</t>
  </si>
  <si>
    <t>28 3860206183086020100100070005320244</t>
  </si>
  <si>
    <t>28 3860206183086020100100190008010244</t>
  </si>
  <si>
    <t>28 3860206183086020100100020005811244</t>
  </si>
  <si>
    <t>28 3860206183086020100100150003313244</t>
  </si>
  <si>
    <t>28 3860206183086020100100210008121244</t>
  </si>
  <si>
    <t>28 3860206183086020100100170008121244</t>
  </si>
  <si>
    <t>Департамент финансов</t>
  </si>
  <si>
    <t>273860220023486020100100050006203244</t>
  </si>
  <si>
    <t>Оказание услуг по сопровождению муниципальной информационной системы "Централизованная информационно-аналитическая система бухгалтерского (бюджетного),  кадрового учета и формирования отчетности"</t>
  </si>
  <si>
    <t xml:space="preserve"> апрель 2027</t>
  </si>
  <si>
    <t>273860220023486020100100040006203244</t>
  </si>
  <si>
    <t>Оказание услуг по сопровождению автоматизированной системы планирования и исполнения бюджета города на основе программного обеспечения «Автоматизированный Центр контроля» с размещением информации о бюджете города в доступной для граждан форме на отдельном информационном портале «Бюджет для граждан»*</t>
  </si>
  <si>
    <t>Итого предусмотрено на осуществление закупок на первый год планового периода</t>
  </si>
  <si>
    <t>СГМУП "ДорРемТех"</t>
  </si>
  <si>
    <t>263860200128586020100100090011920000</t>
  </si>
  <si>
    <t>Поставка дизельного топлива (товара, необходимого для жизнеобеспечения)</t>
  </si>
  <si>
    <t>263860200128586020100100130012420000</t>
  </si>
  <si>
    <t>Поставка трубы</t>
  </si>
  <si>
    <t>Итого предусмотрено на осуществление закупок в текущем году</t>
  </si>
  <si>
    <t>СГМУП "ГТС"</t>
  </si>
  <si>
    <t>263860201703886020100100020004221000</t>
  </si>
  <si>
    <t>Капитальный ремонт объекта: "Сети теплоснабжения. Улица Университетская от улицы Ивана Захарова до улицы Инженерная. Участок от 9ТК2-6 до 9ТК2-7 (трубопровод Т1)"</t>
  </si>
  <si>
    <t>Март 2026</t>
  </si>
  <si>
    <t>263860201703886020100100040007112000</t>
  </si>
  <si>
    <t>Выполнение работ по подготовке проектной документации по объекту: "Строительство "Магистральные тепловые сети. Участок сетей теплоснабжения от 1 ТК-46 до ТК проект. по ул. И. Киртбая""</t>
  </si>
  <si>
    <t>Февраль 2026</t>
  </si>
  <si>
    <t>263860201703886020100100090007112000</t>
  </si>
  <si>
    <t>Выполнение работ по подготовке проектной документации по объекту: "Реконструкция "Тепломагистраль № 1 от 1ТК19-1ТК39 по ул. Магистральная, 1 пуск. комплекс. Участок сетей теплоснабжения от 1ТК-19 до 1ТК-39. Тепломагистраль № 1 от 1ТК39-1ТК40-1ТК41-1ТК42-1ТК43 по ул. Магистральная, 2 пуск. комплекс. Участок сетей теплоснабжения от 1ТК39 до 1ТК40"</t>
  </si>
  <si>
    <t>Апрель 2026</t>
  </si>
  <si>
    <t>263860201703886020100100100007112000</t>
  </si>
  <si>
    <t>Выполнение работ по подготовке проектной документации по объекту: "Реконструкция "Тепломагистраль № 1 по пр. Мира от П1(ПКТС)-1ТК5-1ТК8-1ТК10-1ТК13-1ТК17-1ТК19; от точки А до 1ТК31 ул. Г.Кукуевицкого до 4ТК1 (котельная №2) НГДУ. Участок сетей теплоснабжения от 1ТК-13 до 1ТК-19"</t>
  </si>
  <si>
    <t>263860201703886020100100010004221000</t>
  </si>
  <si>
    <t>Капитальный ремонт объекта: "Тепломагистраль №2 от 1ТК13-2ТК21-2ТК22 по ул. Лермонтова. Участок от 2ТК21 до 2ТК22 (трубопровод Т1)"</t>
  </si>
  <si>
    <t>263860201703886020100100080007112000</t>
  </si>
  <si>
    <t>Выполнение работ по подготовке проектной документации по объекту: "Реконструкция "Тепломагистраль № 1 от 1ТК39-1ТК40-1ТК41-1ТК42-1ТК43 по ул. Магистральная, 2 пуск. комплекс. Участок сетей теплоснабжения от 1ТК40 до 1ТК-41"</t>
  </si>
  <si>
    <t>263860201703886020100100110007112000</t>
  </si>
  <si>
    <t>Выполнение работ по подготовке проектной документации по объекту: "Реконструкция "Тепломагистраль № 1 от 1ТК39-1ТК40-1ТК41-1ТК42-1ТК43 по. ул. Магистральная, 2 пуск. комплекс. Участок сетей теплоснабжения от 1ТК-41 до 1ТК-42"</t>
  </si>
  <si>
    <t>283860201703886020100100010004221000</t>
  </si>
  <si>
    <t>Капитальный ремонт объекта: "Тепломагистраль №9 по ул. Привокзальной от ТК4 до ЦТП-83. Участок сетей теплоснабжения от ТК-4 до ввода в ЦТП-83"</t>
  </si>
  <si>
    <t>Март 2028</t>
  </si>
  <si>
    <t>МБДОУ №4 "Умка"</t>
  </si>
  <si>
    <t>263860206331686020100100150000000244</t>
  </si>
  <si>
    <t>Поставка канцелярских товаров</t>
  </si>
  <si>
    <t>263860206331686020100100160001723244</t>
  </si>
  <si>
    <t>Поставка цветной бумаги</t>
  </si>
  <si>
    <t>263860206331686020100100170001723244</t>
  </si>
  <si>
    <t>Поставка альбомов для рисования</t>
  </si>
  <si>
    <t>263860206331686020100100180000000244</t>
  </si>
  <si>
    <t>263860206331686020100100190001712244</t>
  </si>
  <si>
    <t>263860206331686020100100250001011244</t>
  </si>
  <si>
    <t>Поставка мяса</t>
  </si>
  <si>
    <t>Июль 2026</t>
  </si>
  <si>
    <t>263860206331686020100100200003299244</t>
  </si>
  <si>
    <t>МБДОУ №6 "Василек"</t>
  </si>
  <si>
    <t>263860200355786020100100130000000244</t>
  </si>
  <si>
    <t>263860200355786020100100140002751244</t>
  </si>
  <si>
    <t>Поставка торгово-технологического оборудования</t>
  </si>
  <si>
    <t>263860200355786020100100150003240244</t>
  </si>
  <si>
    <t>Поставка кукол</t>
  </si>
  <si>
    <t>263860200355786020100100160000000244</t>
  </si>
  <si>
    <t>263860200355786020100100170000000244</t>
  </si>
  <si>
    <t>273860200355786020100100090000000244</t>
  </si>
  <si>
    <t>Февраль 2027</t>
  </si>
  <si>
    <t>283860200355786020100100030000000244</t>
  </si>
  <si>
    <t>Февраль 2028</t>
  </si>
  <si>
    <t>Итого предусмотрено на осуществление закупок на второй год планового периода</t>
  </si>
  <si>
    <t>МБДОУ №7 "Буровичок"</t>
  </si>
  <si>
    <t>263860200357186020100100240000000244</t>
  </si>
  <si>
    <t>263860200357186020100100250000000244</t>
  </si>
  <si>
    <t>273860200357186020100100110000000244</t>
  </si>
  <si>
    <t>Март 2027</t>
  </si>
  <si>
    <t>283860200357186020100100050000000244</t>
  </si>
  <si>
    <t>МБДОУ №8 "Огонек"</t>
  </si>
  <si>
    <t>263860215326386020100100180008122244</t>
  </si>
  <si>
    <t>Оказание услуг по зимнему содержанию крыш в 2026-2027 годах</t>
  </si>
  <si>
    <t>263860215326386020100100210008010244</t>
  </si>
  <si>
    <t>Январь 2026</t>
  </si>
  <si>
    <t>263860215326386020100100260000000244</t>
  </si>
  <si>
    <t>Поставка фруктов</t>
  </si>
  <si>
    <t>263860215326386020100100340001712244</t>
  </si>
  <si>
    <t>263860215326386020100100360001051244</t>
  </si>
  <si>
    <t>Поставка продуктов питания</t>
  </si>
  <si>
    <t>Сентябрь 2026</t>
  </si>
  <si>
    <t>283860215326386020100100020001020244</t>
  </si>
  <si>
    <t>Поставка рыбы</t>
  </si>
  <si>
    <t>Янвварь 2028</t>
  </si>
  <si>
    <t>МБДОУ №9 "Метелица"</t>
  </si>
  <si>
    <t>263860216650586020100100270001723244</t>
  </si>
  <si>
    <t>263860216650586020100100280002823244</t>
  </si>
  <si>
    <t>Поставка оригинальных расходных материалов для копировально-множительной техники в 2026 году</t>
  </si>
  <si>
    <t>273860216650586020100100230001723244</t>
  </si>
  <si>
    <t>Апрель 2027</t>
  </si>
  <si>
    <t>283860216650586020100100100001723244</t>
  </si>
  <si>
    <t>Апрель 2028</t>
  </si>
  <si>
    <t>МБДОУ №14 "Брусничка"</t>
  </si>
  <si>
    <t>263860200181786020100100200001051244</t>
  </si>
  <si>
    <t>273860200181786020100100150001051244</t>
  </si>
  <si>
    <t>Сентябрь 2027</t>
  </si>
  <si>
    <t>МБДОУ №17 "Белочка"</t>
  </si>
  <si>
    <t>263860216932086020100100220003240244</t>
  </si>
  <si>
    <t>Поставка наборов игрушек для улицы</t>
  </si>
  <si>
    <t>273860216932086020100100100003240244</t>
  </si>
  <si>
    <t>283860216932086020100100030003109244</t>
  </si>
  <si>
    <t>Поставка детской мебели</t>
  </si>
  <si>
    <t>МБДОУ №18 "Мишутка"</t>
  </si>
  <si>
    <t>263860216931286020100100280003240244</t>
  </si>
  <si>
    <t>Поставка игровых наборов</t>
  </si>
  <si>
    <t>273860216931286020100100080003240244</t>
  </si>
  <si>
    <t>Поставка игрового оборудования в 27 г</t>
  </si>
  <si>
    <t>283860216931286020100100010003240244</t>
  </si>
  <si>
    <t>Поставка игрового оборудования в 28 г</t>
  </si>
  <si>
    <t>МБДОУ №20 "Югорка"</t>
  </si>
  <si>
    <t>263860216930586020100100220008129244</t>
  </si>
  <si>
    <t>Оказание услуг по зимнему содержанию территории</t>
  </si>
  <si>
    <t>283860216930586020100100070008010244</t>
  </si>
  <si>
    <t>Январь 2028</t>
  </si>
  <si>
    <t>МБДОУ №22 "Сказка"</t>
  </si>
  <si>
    <t>263860200315586020100100150004321244</t>
  </si>
  <si>
    <t>Оказание услуг по демонтажу, монтажу, приобретение, выполнение пусконаладочных работ системы пожарной сигнализации и оповещения людей о пожаре</t>
  </si>
  <si>
    <t>263860200315586020100100160001723244</t>
  </si>
  <si>
    <t>263860200315586020100100170001712244</t>
  </si>
  <si>
    <t>263860200315586020100100180000000244</t>
  </si>
  <si>
    <t>263860200315586020100100290001723244</t>
  </si>
  <si>
    <t>263860200315586020100100300003240244</t>
  </si>
  <si>
    <t>263860200315586020100100310001051244</t>
  </si>
  <si>
    <t>263860200315586020100100330002030244</t>
  </si>
  <si>
    <t>МБДОУ №25 "Родничок"</t>
  </si>
  <si>
    <t>263860200175086020100100040003240244</t>
  </si>
  <si>
    <t>Поставка товара для игровой деятельности</t>
  </si>
  <si>
    <t>273860200175086020100100080003240244</t>
  </si>
  <si>
    <t>273860200175086020100100130001051244</t>
  </si>
  <si>
    <t>283860200175086020100100100003240244</t>
  </si>
  <si>
    <t>283860200175086020100100140001051244</t>
  </si>
  <si>
    <t>МБДОУ №26 "Золотая рыбка"</t>
  </si>
  <si>
    <t>263860220647686020100100240002059244</t>
  </si>
  <si>
    <t>263860220647686020100100250000000244</t>
  </si>
  <si>
    <t>273860220647686020100100090001020244</t>
  </si>
  <si>
    <t>Январь 2027</t>
  </si>
  <si>
    <t>283860220647686020100100030001020244</t>
  </si>
  <si>
    <t>МБДОУ №27 "Микки-Маус"</t>
  </si>
  <si>
    <t>263860200265986020100100170003291244</t>
  </si>
  <si>
    <t>Поставка кистей художественных</t>
  </si>
  <si>
    <t>263860200265986020100100180008122244</t>
  </si>
  <si>
    <t>Оказание услуг по зимнему содержанию крыш в 2027 году</t>
  </si>
  <si>
    <t>263860200265986020100100190008129244</t>
  </si>
  <si>
    <t>Оказание услуг по зимнему содержанию территории в 2027 году</t>
  </si>
  <si>
    <t>Аапрель 2026</t>
  </si>
  <si>
    <t>263860200265986020100100200008621244</t>
  </si>
  <si>
    <t>Оказание услуг по проведению периодического медицинского осмотра сотрудников в 2027 году</t>
  </si>
  <si>
    <t>263860200265986020100100210008010244</t>
  </si>
  <si>
    <t>273860200265986020100100120003291244</t>
  </si>
  <si>
    <t>273860200265986020100100130008122244</t>
  </si>
  <si>
    <t>Оказание услуг по зимнему содержанию крыш в 2028 году</t>
  </si>
  <si>
    <t>273860200265986020100100140008129244</t>
  </si>
  <si>
    <t>Оказание услуг по зимнему содержанию территории в 2028 году</t>
  </si>
  <si>
    <t>273860200265986020100100150008621244</t>
  </si>
  <si>
    <t>Оказание услуг по проведению периодического медицинского осмотра сотрудников в 2028 году</t>
  </si>
  <si>
    <t>Июнь 2027</t>
  </si>
  <si>
    <t>283860200265986020100100030003291244</t>
  </si>
  <si>
    <t>МБДОУ №28 "Калинка"</t>
  </si>
  <si>
    <t>263860200356486020100100140002620244</t>
  </si>
  <si>
    <t>Поставка оригинальных расходных материалов для копировально-множительной техники</t>
  </si>
  <si>
    <t>263860200356486020100100150003240244</t>
  </si>
  <si>
    <t>273860200356486020100100090003240244</t>
  </si>
  <si>
    <t>283860200356486020100100030003240244</t>
  </si>
  <si>
    <t>МБДОУ №29 "Журавушка"</t>
  </si>
  <si>
    <t>263860219713386020100100070001051244</t>
  </si>
  <si>
    <t>263860219713386020100100090003240244</t>
  </si>
  <si>
    <t>273860219713386020100100080001051244</t>
  </si>
  <si>
    <t>273860219713386020100100100003240244</t>
  </si>
  <si>
    <t>283860219713386020100100110003240244</t>
  </si>
  <si>
    <t>МБДОУ №30 "Семицветик"</t>
  </si>
  <si>
    <t>263860221928186020100100250001051244</t>
  </si>
  <si>
    <t>Поставка творога и сливочного масла</t>
  </si>
  <si>
    <t>263860221928186020100100270001020244</t>
  </si>
  <si>
    <t>263860221928186020100100280001011244</t>
  </si>
  <si>
    <t>Поставка  мяса и субпродуктов</t>
  </si>
  <si>
    <t>263860221928186020100100290001011244</t>
  </si>
  <si>
    <t>Поставка  мяса и субпродуктов 2026г.</t>
  </si>
  <si>
    <t>263860221928186020100100300001051244</t>
  </si>
  <si>
    <t>Поставка творога и сливочного масла 2026г.</t>
  </si>
  <si>
    <t>273860221928186020100100110000000244</t>
  </si>
  <si>
    <t>283860221928186020100100070000000244</t>
  </si>
  <si>
    <t>Поставка продуктов питания 2028г.</t>
  </si>
  <si>
    <t>МБДОУ №31 "Снегирек"</t>
  </si>
  <si>
    <t>263860220645186020100100050001712244</t>
  </si>
  <si>
    <t>263860220645186020100100070008010244</t>
  </si>
  <si>
    <t>263860220645186020100100170001051244</t>
  </si>
  <si>
    <t>273860220645186020100100040001051244</t>
  </si>
  <si>
    <t>МБДОУ №33 "Аленький цветочек"</t>
  </si>
  <si>
    <t>263860219720786020100100010001723244</t>
  </si>
  <si>
    <t>263860219720786020100100100001051244</t>
  </si>
  <si>
    <t>273860219720786020100100070001723244</t>
  </si>
  <si>
    <t>273860219720786020100100120001051244</t>
  </si>
  <si>
    <t>Июль 2027</t>
  </si>
  <si>
    <t>283860219720786020100100090001723244</t>
  </si>
  <si>
    <t>МБДОУ №34 "Березка"</t>
  </si>
  <si>
    <t>263860220646986020100100110001051244</t>
  </si>
  <si>
    <t>263860220646986020100100120001051244</t>
  </si>
  <si>
    <t>Поставка творога и масла сливочного</t>
  </si>
  <si>
    <t>263860220646986020100100130000000244</t>
  </si>
  <si>
    <t>263860220646986020100100190000000244</t>
  </si>
  <si>
    <t>273860220646986020100100160001051244</t>
  </si>
  <si>
    <t>273860220646986020100100170001051244</t>
  </si>
  <si>
    <t>283860220646986020100100060000000244</t>
  </si>
  <si>
    <t>Сентябрь 2028</t>
  </si>
  <si>
    <t>МБДОУ №36 "Яблонька"</t>
  </si>
  <si>
    <t>263860225480086020100100200003230244</t>
  </si>
  <si>
    <t>Поставка игровых модулей</t>
  </si>
  <si>
    <t>273860225480086020100100070003240244</t>
  </si>
  <si>
    <t>Поставка игр и игровых наборов</t>
  </si>
  <si>
    <t>273860225480086020100100110001011244</t>
  </si>
  <si>
    <t>283860225480086020100100010003240244</t>
  </si>
  <si>
    <t>Поставка игрушек и игровых наборов</t>
  </si>
  <si>
    <t>283860225480086020100100030001011244</t>
  </si>
  <si>
    <t>МБДОУ №37 "Колокольчик"</t>
  </si>
  <si>
    <t>263860220556086020100100160000000244</t>
  </si>
  <si>
    <t>263860220556086020100100170000000244</t>
  </si>
  <si>
    <t>263860220556086020100100180002751244</t>
  </si>
  <si>
    <t>263860220556086020100100200001011244</t>
  </si>
  <si>
    <t>Поставка мяса и субпродуктов</t>
  </si>
  <si>
    <t>263860220556086020100100210001051244</t>
  </si>
  <si>
    <t>263860220556086020100100220001020244</t>
  </si>
  <si>
    <t>Август 2026</t>
  </si>
  <si>
    <t>263860220556086020100100230008010244</t>
  </si>
  <si>
    <t>Оказание услуг охраны</t>
  </si>
  <si>
    <t>Октябрь 2026</t>
  </si>
  <si>
    <t>273860220556086020100100110001051244</t>
  </si>
  <si>
    <t>Август 2027</t>
  </si>
  <si>
    <t>МБДОУ №38 "Зоренька"</t>
  </si>
  <si>
    <t>263860200342086020100100110001086244</t>
  </si>
  <si>
    <t>Поставка сока</t>
  </si>
  <si>
    <t>263860200342086020100100120001011244</t>
  </si>
  <si>
    <t>263860200342086020100100130001051244</t>
  </si>
  <si>
    <t>Поставка творога</t>
  </si>
  <si>
    <t>263860200342086020100100140001020244</t>
  </si>
  <si>
    <t>263860200342086020100100150001051244</t>
  </si>
  <si>
    <t>Поставка масла сливочного</t>
  </si>
  <si>
    <t>Июнь 2026</t>
  </si>
  <si>
    <t>263860200342086020100100160000000244</t>
  </si>
  <si>
    <t>263860200342086020100100170001011244</t>
  </si>
  <si>
    <t>263860200342086020100100180001051244</t>
  </si>
  <si>
    <t>263860200342086020100100190001723244</t>
  </si>
  <si>
    <t>263860200342086020100100200000000244</t>
  </si>
  <si>
    <t>263860200342086020100100210001723244</t>
  </si>
  <si>
    <t>Поставка картона</t>
  </si>
  <si>
    <t>263860200342086020100100220000000244</t>
  </si>
  <si>
    <t>263860200342086020100100230005811244</t>
  </si>
  <si>
    <t>Поставка раскрасок</t>
  </si>
  <si>
    <t>273860200342086020100100070001020244</t>
  </si>
  <si>
    <t>273860200342086020100100080002030244</t>
  </si>
  <si>
    <t>283860200342086020100100040002030244</t>
  </si>
  <si>
    <t>МБДОУ №40 "Снегурочка"</t>
  </si>
  <si>
    <t>263860220032286020100100220001051244</t>
  </si>
  <si>
    <t>273860220032286020100100130001051244</t>
  </si>
  <si>
    <t>МБДОУ №41 "Рябинушка"</t>
  </si>
  <si>
    <t>263860200354086020100100210008129244</t>
  </si>
  <si>
    <t>Оказание услуг по дезинсекции и дератизации помещений в 2027-2028 годах</t>
  </si>
  <si>
    <t>273860200354086020100100100001011244</t>
  </si>
  <si>
    <t>Поставка мяса и мясной продукции</t>
  </si>
  <si>
    <t>283860200354086020100100030001011244</t>
  </si>
  <si>
    <t>МБДОУ №43 "Лесная сказка"</t>
  </si>
  <si>
    <t>263860225478386020100100290002222244</t>
  </si>
  <si>
    <t>Поставка контейнеров для игрушек</t>
  </si>
  <si>
    <t>263860225478386020100100300002030244</t>
  </si>
  <si>
    <t>Поставка красок</t>
  </si>
  <si>
    <t>263860225478386020100100310000000244</t>
  </si>
  <si>
    <t>263860225478386020100100370008010244</t>
  </si>
  <si>
    <t>273860225478386020100100110001051244</t>
  </si>
  <si>
    <t>283860225478386020100100020001051244</t>
  </si>
  <si>
    <t>МБДОУ №44 "Сибирячок"</t>
  </si>
  <si>
    <t>263860226033986020100100040001723244</t>
  </si>
  <si>
    <t>263860226033986020100100070001051244</t>
  </si>
  <si>
    <t>273860226033986020100100080001051244</t>
  </si>
  <si>
    <t>283860226033986020100100060001723244</t>
  </si>
  <si>
    <t>МБДОУ №45 "Волчок"</t>
  </si>
  <si>
    <t>263860227229286020100100150001051244</t>
  </si>
  <si>
    <t>263860227229286020100100170001051244</t>
  </si>
  <si>
    <t>273860227229286020100100080001051244</t>
  </si>
  <si>
    <t>273860227229286020100100110003240244</t>
  </si>
  <si>
    <t>283860227229286020100100020003240244</t>
  </si>
  <si>
    <t>МБДОУ №47 "Гусельки"</t>
  </si>
  <si>
    <t>263860200358986020100100300001051244</t>
  </si>
  <si>
    <t>Поставка творога и масла</t>
  </si>
  <si>
    <t>263860200358986020100100310001020244</t>
  </si>
  <si>
    <t>263860200358986020100100320001051244</t>
  </si>
  <si>
    <t>Поставка молока и молочной продукции</t>
  </si>
  <si>
    <t>263860200358986020100100330001011244</t>
  </si>
  <si>
    <t>273860200358986020100100230001086244</t>
  </si>
  <si>
    <t>273860200358986020100100240001020244</t>
  </si>
  <si>
    <t>273860200358986020100100250001051244</t>
  </si>
  <si>
    <t>273860200358986020100100270001051244</t>
  </si>
  <si>
    <t>273860200358986020100100280001011244</t>
  </si>
  <si>
    <t>283860200358986020100100040001086244</t>
  </si>
  <si>
    <t>283860200358986020100100050001020244</t>
  </si>
  <si>
    <t>283860200358986020100100060001051244</t>
  </si>
  <si>
    <t>283860200358986020100100080001051244</t>
  </si>
  <si>
    <t>МБДОУ №48 "Росток"</t>
  </si>
  <si>
    <t>263860224790986020100100160003240244</t>
  </si>
  <si>
    <t>Поставка игр, игрушек и игрового оборудования</t>
  </si>
  <si>
    <t>263860224790986020100100170001051244</t>
  </si>
  <si>
    <t>263860224790986020100100180001020244</t>
  </si>
  <si>
    <t>263860224790986020100100190008010244</t>
  </si>
  <si>
    <t>263860224790986020100100200000000244</t>
  </si>
  <si>
    <t>273860224790986020100100080003240244</t>
  </si>
  <si>
    <t>273860224790986020100100140001020244</t>
  </si>
  <si>
    <t>283860224790986020100100040003240244</t>
  </si>
  <si>
    <t>Поставка игр, игрушек и игровых наборов</t>
  </si>
  <si>
    <t>МБДОУ №56 "Искорка"</t>
  </si>
  <si>
    <t>263860200350086020100100170001011244</t>
  </si>
  <si>
    <t>263860200350086020100100180001086244</t>
  </si>
  <si>
    <t>263860200350086020100100190001051244</t>
  </si>
  <si>
    <t>Поставка масла сливочного и творога</t>
  </si>
  <si>
    <t>263860200350086020100100200001020244</t>
  </si>
  <si>
    <t>273860200350086020100100160001020244</t>
  </si>
  <si>
    <t>273860200350086020100100180001086244</t>
  </si>
  <si>
    <t>273860200350086020100100190001051244</t>
  </si>
  <si>
    <t>273860200350086020100100200001011244</t>
  </si>
  <si>
    <t>МБДОУ №61 "Лель"</t>
  </si>
  <si>
    <t>263860200263486020100100140002893244</t>
  </si>
  <si>
    <t>263860200263486020100100150004321244</t>
  </si>
  <si>
    <t>Выполнение работ по демонтажу и монтажу системы пожарной сигнализации</t>
  </si>
  <si>
    <t>263860200263486020100100160002825244</t>
  </si>
  <si>
    <t>Поставка стола холодильного</t>
  </si>
  <si>
    <t>263860200263486020100100190002751244</t>
  </si>
  <si>
    <t>Поставка картофелечистки</t>
  </si>
  <si>
    <t>273860200263486020100100100001011244</t>
  </si>
  <si>
    <t>283860200263486020100100030001011244</t>
  </si>
  <si>
    <t>Август 2028</t>
  </si>
  <si>
    <t>МБДОУ №65 "Фестивальный"</t>
  </si>
  <si>
    <t>263860200337086020100100240008010244</t>
  </si>
  <si>
    <t>263860200337086020100100260001011244</t>
  </si>
  <si>
    <t>263860200337086020100100270001051244</t>
  </si>
  <si>
    <t>263860200337086020100100280001012244</t>
  </si>
  <si>
    <t>Поставка мяса птицы</t>
  </si>
  <si>
    <t>263860200337086020100100300001086244</t>
  </si>
  <si>
    <t>263860200337086020100100310001051244</t>
  </si>
  <si>
    <t>263860200337086020100100320001020244</t>
  </si>
  <si>
    <t>263860200337086020100100350003240244</t>
  </si>
  <si>
    <t>263860200337086020100100360001723244</t>
  </si>
  <si>
    <t>273860200337086020100100130001011244</t>
  </si>
  <si>
    <t>273860200337086020100100140001051244</t>
  </si>
  <si>
    <t>273860200337086020100100150001012244</t>
  </si>
  <si>
    <t>273860200337086020100100160001086244</t>
  </si>
  <si>
    <t>273860200337086020100100170001051244</t>
  </si>
  <si>
    <t>273860200337086020100100180001020244</t>
  </si>
  <si>
    <t>273860200337086020100100190003240244</t>
  </si>
  <si>
    <t>273860200337086020100100200001723244</t>
  </si>
  <si>
    <t>283860200337086020100100020003240244</t>
  </si>
  <si>
    <t>283860200337086020100100030001723244</t>
  </si>
  <si>
    <t>МБДОУ №70 "Голубок"</t>
  </si>
  <si>
    <t>263860200343786020100100220000000244</t>
  </si>
  <si>
    <t>263860200343786020100100250008010244</t>
  </si>
  <si>
    <t>263860200343786020100100270001011244</t>
  </si>
  <si>
    <t>273860200343786020100100180001011244</t>
  </si>
  <si>
    <t>МБДОУ №74 "Филиппок"</t>
  </si>
  <si>
    <t>263860200361386020100100130001011244</t>
  </si>
  <si>
    <t>Ноябрь 2026</t>
  </si>
  <si>
    <t>263860200361386020100100150008010244</t>
  </si>
  <si>
    <t>263860200361386020100100160001723244</t>
  </si>
  <si>
    <t>МБДОУ №77 "Бусинка"</t>
  </si>
  <si>
    <t>263860200340586020100100190001723244</t>
  </si>
  <si>
    <t>263860200340586020100100200000000244</t>
  </si>
  <si>
    <t>263860200340586020100100210000000244</t>
  </si>
  <si>
    <t>263860200340586020100100220003230244</t>
  </si>
  <si>
    <t>273860200340586020100100060003240244</t>
  </si>
  <si>
    <t>Поставка игрушек</t>
  </si>
  <si>
    <t>283860200340586020100100020003240244</t>
  </si>
  <si>
    <t>МБДОУ №78 "Ивушка"</t>
  </si>
  <si>
    <t>263860200240186020100100130001051244</t>
  </si>
  <si>
    <t>263860200240186020100100160008621244</t>
  </si>
  <si>
    <t>263860200240186020100100170008010244</t>
  </si>
  <si>
    <t>263860200240186020100100180008129244</t>
  </si>
  <si>
    <t>283860200240186020100100010001051244</t>
  </si>
  <si>
    <t>МБДОУ №81 "Мальвина"</t>
  </si>
  <si>
    <t>263860200262786020100100180004321244</t>
  </si>
  <si>
    <t>Оказание услуг по демонтажу, монтажу, приобретение, выполнение пусконаладочных работ системы пожарной сигнализации и оповещения людей о пожаре, ул. Майская, 2</t>
  </si>
  <si>
    <t>263860200262786020100100260008129244</t>
  </si>
  <si>
    <t>Зимнее содержание</t>
  </si>
  <si>
    <t>263860200262786020100100270008010244</t>
  </si>
  <si>
    <t>263860200262786020100100280001051244</t>
  </si>
  <si>
    <t>263860200262786020100100290001051244</t>
  </si>
  <si>
    <t>273860200262786020100100110003240244</t>
  </si>
  <si>
    <t>Поставка товаров для игровой деятельности</t>
  </si>
  <si>
    <t>273860200262786020100100190008129244</t>
  </si>
  <si>
    <t>Октябрь 2027</t>
  </si>
  <si>
    <t>273860200262786020100100200001051244</t>
  </si>
  <si>
    <t>283860200262786020100100030003240244</t>
  </si>
  <si>
    <t>МБДОУ №89 "Крепыш"</t>
  </si>
  <si>
    <t>263860200363886020100100110001011244</t>
  </si>
  <si>
    <t>263860200363886020100100150001011244</t>
  </si>
  <si>
    <t>МБДОУ №92 "Веснушка"</t>
  </si>
  <si>
    <t>263860200335686020100100160002030244</t>
  </si>
  <si>
    <t>263860200335686020100100170003240244</t>
  </si>
  <si>
    <t>263860200335686020100100180008010244</t>
  </si>
  <si>
    <t>Оказание услуг охраны муниципального имущества</t>
  </si>
  <si>
    <t>273860200335686020100100090002030244</t>
  </si>
  <si>
    <t>273860200335686020100100100003240244</t>
  </si>
  <si>
    <t>273860200335686020100100110008010244</t>
  </si>
  <si>
    <t>273860200335686020100100120001020244</t>
  </si>
  <si>
    <t>283860200335686020100100020002030244</t>
  </si>
  <si>
    <t>283860200335686020100100030003240244</t>
  </si>
  <si>
    <t>283860200335686020100100040008010244</t>
  </si>
  <si>
    <t>283860200335686020100100050001020244</t>
  </si>
  <si>
    <t>МКУ "УДОУ"</t>
  </si>
  <si>
    <t>263860200344486020100100260001723244</t>
  </si>
  <si>
    <t>263860200344486020100100270002823244</t>
  </si>
  <si>
    <t>Приобретение комплектующих и расходных материалов для принтеров, многофункциональных устройств, компьютерной техники</t>
  </si>
  <si>
    <t>273860200344486020100100130001723244</t>
  </si>
  <si>
    <t>273860200344486020100100140002823244</t>
  </si>
  <si>
    <t>273860200344486020100100180008121244</t>
  </si>
  <si>
    <t>283860200344486020100100020001723244</t>
  </si>
  <si>
    <t>283860200344486020100100030002823244</t>
  </si>
  <si>
    <t>283860200344486020100100040008121244</t>
  </si>
  <si>
    <t>МБОУ СОШ № 1</t>
  </si>
  <si>
    <t>263860200025086020100100140001712244</t>
  </si>
  <si>
    <t>263860200025086020100100150008010244</t>
  </si>
  <si>
    <t xml:space="preserve">Итого предусмотрено на осуществление закупок в текущем году </t>
  </si>
  <si>
    <t xml:space="preserve"> 273860200025086020100100050001712244</t>
  </si>
  <si>
    <t>283860200025086020100100010001712244</t>
  </si>
  <si>
    <t xml:space="preserve">Итого предусмотрено на осуществление закупок на второй год планового периода </t>
  </si>
  <si>
    <t>МБОУ СОШ № 3</t>
  </si>
  <si>
    <t>263860200012286020100100130008010244</t>
  </si>
  <si>
    <t>273860200012286020100100040002620244</t>
  </si>
  <si>
    <t>283860200012286020100100020002620244</t>
  </si>
  <si>
    <t>МБОУ СОШ № 4 имени Л.И. Золотухиной</t>
  </si>
  <si>
    <t>263860200200086020100100140008010244</t>
  </si>
  <si>
    <t>Май 2026</t>
  </si>
  <si>
    <t>МБОУ СОШ № 5</t>
  </si>
  <si>
    <t>263860200241986020100100130001712244</t>
  </si>
  <si>
    <t>263860200241986020100100170008010244</t>
  </si>
  <si>
    <t>МБОУ СОШ № 6</t>
  </si>
  <si>
    <t>263860200149386020100100160002823244</t>
  </si>
  <si>
    <t>Картриджи</t>
  </si>
  <si>
    <t>263860200149386020100100100003299244</t>
  </si>
  <si>
    <t>Поставка интерактивных панелей</t>
  </si>
  <si>
    <t>263860200149386020100100140003299244</t>
  </si>
  <si>
    <t>Охранные услуги</t>
  </si>
  <si>
    <t>263860200149386020100100150008010244</t>
  </si>
  <si>
    <t>МБОУ СОШ № 7</t>
  </si>
  <si>
    <t>263860200210586020100100120005829244</t>
  </si>
  <si>
    <t>263860200210586020100100140008621244</t>
  </si>
  <si>
    <t>Оказание услуг по проведению периодических медицинских осмотров</t>
  </si>
  <si>
    <t>263860200210586020100100160008010244</t>
  </si>
  <si>
    <t>263860200210586020100100110001712244</t>
  </si>
  <si>
    <t>273860200210586020100100040005829244</t>
  </si>
  <si>
    <t>273860200210586020100100100008621244</t>
  </si>
  <si>
    <t>273860200210586020100100060001712244</t>
  </si>
  <si>
    <t>283860200210586020100100010005829244</t>
  </si>
  <si>
    <t>283860200210586020100100030001712244</t>
  </si>
  <si>
    <t>МБОУ СОШ № 8 ИМЕНИ СИБИРЦЕВА А.Н.</t>
  </si>
  <si>
    <t>263860200083886020100100100008010244</t>
  </si>
  <si>
    <t>263860200083886020100100110008621244</t>
  </si>
  <si>
    <t>263860200083886020100100120008621244</t>
  </si>
  <si>
    <t>273860200083886020100100020005829244</t>
  </si>
  <si>
    <t>273860200083886020100100030008621244</t>
  </si>
  <si>
    <t>283860200083886020100100010005829244</t>
  </si>
  <si>
    <t>Октябрь 2028</t>
  </si>
  <si>
    <t>МБОУ СШ № 9</t>
  </si>
  <si>
    <t>263860226396486020100100130008010244</t>
  </si>
  <si>
    <t>263860226396486020100100180001712244</t>
  </si>
  <si>
    <t>Поставка бумаги для печати</t>
  </si>
  <si>
    <t>263860226396486020100100210008010244</t>
  </si>
  <si>
    <t>283860226396486020100100070001712244</t>
  </si>
  <si>
    <t>МБОУ СОШ № 10</t>
  </si>
  <si>
    <t>263860200212086020100100140002823244</t>
  </si>
  <si>
    <t>Поставка  расходных материалов для копировально-множительной техники  и периферийного оборудования</t>
  </si>
  <si>
    <t xml:space="preserve"> Электронный аукцион</t>
  </si>
  <si>
    <t>263860200212086020100100190000000244</t>
  </si>
  <si>
    <t>Оказание услуг по зимнему содержанию территории и крыш</t>
  </si>
  <si>
    <t>263860200212086020100100200008010244</t>
  </si>
  <si>
    <t>263860200212086020100100210008621244</t>
  </si>
  <si>
    <t>Оказание услуг по проведению периодического медицинского осмотра работников</t>
  </si>
  <si>
    <t>263860200212086020100100180008129244</t>
  </si>
  <si>
    <t>Оказание услуг по дератизации и дезинсекции помещений</t>
  </si>
  <si>
    <t>МБОУ СШ № 12</t>
  </si>
  <si>
    <t>263860200040486020100100140008010244</t>
  </si>
  <si>
    <t>263860200040486020100100130008010244</t>
  </si>
  <si>
    <t>МБОУ СОШ № 15</t>
  </si>
  <si>
    <t>263860200014786020100100230008010244</t>
  </si>
  <si>
    <t>Охрана в общеобразовательных учреждениях сотрудниками ЧОП на 2027, 2028</t>
  </si>
  <si>
    <t>263860200014786020100100270002823244</t>
  </si>
  <si>
    <t>Приобретение комплектующих и расходных материалов (Картриджи для принтера, бумага, аттестаты, медали)</t>
  </si>
  <si>
    <t>263860200014786020100100290004321244</t>
  </si>
  <si>
    <t>Выполнение работ по монтажу системы пожарной сигнализации людей о пожаре по адресу: Пушкина 15а</t>
  </si>
  <si>
    <t>МБОУ СОШ № 18 имени В.Я. Алексеева</t>
  </si>
  <si>
    <t>263860200219086020100100090008621244</t>
  </si>
  <si>
    <t>263860200219086020100100110001712244</t>
  </si>
  <si>
    <t>263860200219086020100100140005829244</t>
  </si>
  <si>
    <t>273860200219086020100100140001712244</t>
  </si>
  <si>
    <t>МБОУ СОШ № 19</t>
  </si>
  <si>
    <t>263860200148686020100100120003299244</t>
  </si>
  <si>
    <t>Поставка оборудования для кабинета технологии</t>
  </si>
  <si>
    <t>МБОУ СОШ № 20</t>
  </si>
  <si>
    <t>263860200015486020100100060008621244</t>
  </si>
  <si>
    <t>263860200015486020100100070002620244</t>
  </si>
  <si>
    <t>263860200015486020100100190008010244</t>
  </si>
  <si>
    <t>273860200015486020100100020001712244</t>
  </si>
  <si>
    <t>273860200015486020100100050008621244</t>
  </si>
  <si>
    <t>273860200015486020100100030002620244</t>
  </si>
  <si>
    <t>Поставка расходных материалов для копировально-множительной техники и периферийного оборудования</t>
  </si>
  <si>
    <t>283860200015486020100100010002620244</t>
  </si>
  <si>
    <t>МБОУ СОШ № 22 имени Г.Ф. Пономарева</t>
  </si>
  <si>
    <t>263860200198386020100100160008621244</t>
  </si>
  <si>
    <t>263860200198386020100100170004321244</t>
  </si>
  <si>
    <t>Выполнение работ по монтажу системы оповещения людей при угрозе совершения террористического акта по улице : Замятинская, 4</t>
  </si>
  <si>
    <t>263860200198386020100100180002751244</t>
  </si>
  <si>
    <t>263860200198386020100100150003101244</t>
  </si>
  <si>
    <t>263860200198386020100100110008010244</t>
  </si>
  <si>
    <t>263860200198386020100100140002620244</t>
  </si>
  <si>
    <t>МБОУ СОШ № 24</t>
  </si>
  <si>
    <t>263860201713386020100100140005829244</t>
  </si>
  <si>
    <t>263860201713386020100100130008010244</t>
  </si>
  <si>
    <t>273860201713386020100100070001712244</t>
  </si>
  <si>
    <t xml:space="preserve"> 283860201713386020100100020001712244</t>
  </si>
  <si>
    <t>МБОУ СОШ № 25</t>
  </si>
  <si>
    <t>263860200223286020100100120008010244</t>
  </si>
  <si>
    <t>263860200223286020100100070002620244</t>
  </si>
  <si>
    <t>МБОУ СОШ № 26</t>
  </si>
  <si>
    <t>263860200188886020100100200001712244</t>
  </si>
  <si>
    <t>263860200188886020100100190008010244</t>
  </si>
  <si>
    <t>МБОУ СОШ № 27</t>
  </si>
  <si>
    <t>263860200180086020100100100008010244</t>
  </si>
  <si>
    <t>263860200180086020100100110008621244</t>
  </si>
  <si>
    <t>МБОУ СОШ № 29</t>
  </si>
  <si>
    <t>263860200209586020100100130008010244</t>
  </si>
  <si>
    <t>263860200209586020100100100001712244</t>
  </si>
  <si>
    <t>273860200209586020100100020001712244</t>
  </si>
  <si>
    <t>283860200209586020100100010001712244</t>
  </si>
  <si>
    <t>МБОУ НШ № 30</t>
  </si>
  <si>
    <t>263860200201786020100100480001712244</t>
  </si>
  <si>
    <t>263860200201786020100100510008010244</t>
  </si>
  <si>
    <t>273860200201786020100100060008010244</t>
  </si>
  <si>
    <t>МБОУ СШ № 31</t>
  </si>
  <si>
    <t>263860221710086020100100160001712244</t>
  </si>
  <si>
    <t>263860221710086020100100150002823244</t>
  </si>
  <si>
    <t>273860221710086020100100030008010244</t>
  </si>
  <si>
    <t>Ноябрь 2027</t>
  </si>
  <si>
    <t>МБОУ СОШ № 32</t>
  </si>
  <si>
    <t>263860200184986020100100170008010244</t>
  </si>
  <si>
    <t>263860200184986020100100150002620244</t>
  </si>
  <si>
    <t>273860200184986020100100070002620244</t>
  </si>
  <si>
    <t>283860200184986020100100010002620244</t>
  </si>
  <si>
    <t>МБОУ СОШ № 44</t>
  </si>
  <si>
    <t>263860200279386020100100130001712244</t>
  </si>
  <si>
    <t>263860200279386020100100120008010244</t>
  </si>
  <si>
    <t>МБОУ СОШ № 45</t>
  </si>
  <si>
    <t>263860200286786020100100240001712244</t>
  </si>
  <si>
    <t>263860200286786020100100230008010244</t>
  </si>
  <si>
    <t>263860200286786020100100200008010244</t>
  </si>
  <si>
    <t>МБОУ СОШ № 46 с углубленным изучением отдельных предметов</t>
  </si>
  <si>
    <t>263860201771186020100100090008010244</t>
  </si>
  <si>
    <t>МБОУ СТШ</t>
  </si>
  <si>
    <t>263860200202486020100100180001712244</t>
  </si>
  <si>
    <t>273860200202486020100100070001712244</t>
  </si>
  <si>
    <t>283860200202486020100100030001712244</t>
  </si>
  <si>
    <t>МБОУ НШ "Перспектива"</t>
  </si>
  <si>
    <t>263860200197686020100100160008010244</t>
  </si>
  <si>
    <t>МБОУ лицей № 1</t>
  </si>
  <si>
    <t>263860200222586020100100150003101244</t>
  </si>
  <si>
    <t>273860200222586020100100090003101244</t>
  </si>
  <si>
    <t>283860200222586020100100050003101244</t>
  </si>
  <si>
    <t>МБОУ Сургутский естественно-научный лицей</t>
  </si>
  <si>
    <t>263860200220086020100100140008010244</t>
  </si>
  <si>
    <t>263860200220086020100100150004321244</t>
  </si>
  <si>
    <t>Выполнение работ по монтажу системы оповещения людей при угрозе совершения террористического акта</t>
  </si>
  <si>
    <t>МБОУ лицей № 3</t>
  </si>
  <si>
    <t>263860200218386020100100110001712244</t>
  </si>
  <si>
    <t xml:space="preserve"> Поставка бумаги</t>
  </si>
  <si>
    <t>263860200218386020100100130008129244</t>
  </si>
  <si>
    <t>263860200218386020100100160008010244</t>
  </si>
  <si>
    <t xml:space="preserve"> Март 2026</t>
  </si>
  <si>
    <t>263860200218386020100100120008129244</t>
  </si>
  <si>
    <t xml:space="preserve">Оказание услуг по дератизации и дезинсекции помещений </t>
  </si>
  <si>
    <t>МБОУ лицей имени генерал-майора Хисматулина В.И.</t>
  </si>
  <si>
    <t>263860200273086020100100110008010244</t>
  </si>
  <si>
    <t>263860200273086020100100130001712244</t>
  </si>
  <si>
    <t>МБОУ гимназия № 2</t>
  </si>
  <si>
    <t>263860200046886020100100120002823244</t>
  </si>
  <si>
    <t>273860200046886020100100100008010244</t>
  </si>
  <si>
    <t>273860200046886020100100070000000244</t>
  </si>
  <si>
    <t>Оказание услуг по проведению комплекса организационно-технических мероприятий по периодическому контролю государственных информационных систем на соответствие требованиям защиты информации с предоставлением средств защиты информации</t>
  </si>
  <si>
    <t>Май 2027</t>
  </si>
  <si>
    <t>273860200046886020100100060002823244</t>
  </si>
  <si>
    <t>283860200046886020100100040000000244</t>
  </si>
  <si>
    <t>Май 2028</t>
  </si>
  <si>
    <t>МБОУ гимназия "Лаборатория Салахова"</t>
  </si>
  <si>
    <t>263860220004086020100100090008010244</t>
  </si>
  <si>
    <t>273860220004086020100100030001712244</t>
  </si>
  <si>
    <t>283860220004086020100100010001712244</t>
  </si>
  <si>
    <t>МБОУ гимназия имени Ф.К. Салманова</t>
  </si>
  <si>
    <t>263860200235286020100100120008010244</t>
  </si>
  <si>
    <t>263860200235286020100100100002823244</t>
  </si>
  <si>
    <t>Поставка картриджей для многофункциональных устройств</t>
  </si>
  <si>
    <t>263860200235286020100100130002620244</t>
  </si>
  <si>
    <t>Поставка ноутбуков</t>
  </si>
  <si>
    <t>263860200235286020100100090001712244</t>
  </si>
  <si>
    <t>Поставка бумаги  для офисной техники</t>
  </si>
  <si>
    <t>МБОУ НШ "Прогимназия"</t>
  </si>
  <si>
    <t>263860220052386020100100100008010244</t>
  </si>
  <si>
    <t>263860220052386020100100080004299244</t>
  </si>
  <si>
    <t>Приобретение средств универсальной безбарьерной среды</t>
  </si>
  <si>
    <t>МКУ "Центр диагностики и консультирования"</t>
  </si>
  <si>
    <t>263860219067486020100100090008010244</t>
  </si>
  <si>
    <t>263860219067486020100100080008621244</t>
  </si>
  <si>
    <t>МКУ "УУиООУ"</t>
  </si>
  <si>
    <t>263860200722386020100100310008129244</t>
  </si>
  <si>
    <t>263860200722386020100100090008690323</t>
  </si>
  <si>
    <t>Оказание услуг по организации санаторно-курортного лечения детей-инвалидов</t>
  </si>
  <si>
    <t>263860200722386020100100110008541244</t>
  </si>
  <si>
    <t>Оказание услуг по организации отдыха и оздоровления детей в организации отдыха детей и их оздоровления, расположенной на территории Тюменской области</t>
  </si>
  <si>
    <t>263860200722386020100100120008541244</t>
  </si>
  <si>
    <t>263860200722386020100100130008541244</t>
  </si>
  <si>
    <t>263860200722386020100100140008541244</t>
  </si>
  <si>
    <t>263860200722386020100100150008541244</t>
  </si>
  <si>
    <t>263860200722386020100100160008541244</t>
  </si>
  <si>
    <t>Оказание услуг по организации отдыха и оздоровления детей в организации отдыха детей и их оздоровления, расположенной на территории Республики Башкортостан</t>
  </si>
  <si>
    <t>263860200722386020100100170008541244</t>
  </si>
  <si>
    <t>263860200722386020100100180008541244</t>
  </si>
  <si>
    <t>263860200722386020100100190008541244</t>
  </si>
  <si>
    <t>263860200722386020100100200008541244</t>
  </si>
  <si>
    <t>Оказание услуг по организации отдыха и оздоровления детей в организации отдыха детей и их оздоровления, расположенной на территории Республики Татарстан</t>
  </si>
  <si>
    <t>263860200722386020100100210008541244</t>
  </si>
  <si>
    <t>263860200722386020100100220008541244</t>
  </si>
  <si>
    <t>Оказание услуг по организации отдыха и оздоровления детей в организации отдыха детей и их оздоровления, расположенной на территории Свердловской области</t>
  </si>
  <si>
    <t>263860200722386020100100230008541244</t>
  </si>
  <si>
    <t>263860200722386020100100250008541244</t>
  </si>
  <si>
    <t>Оказание услуг по организации отдыха и оздоровления детей в организации отдыха детей и их оздоровления, расположенной на территории Ханты-Мансийского автономного округа - Югры</t>
  </si>
  <si>
    <t>263860200722386020100100260008541244</t>
  </si>
  <si>
    <t>263860200722386020100100270008541244</t>
  </si>
  <si>
    <t>Оказание услуг по организации отдыха и оздоровления детей в организации отдыха детей и их оздоровления, расположенной на территории Новосибирской области</t>
  </si>
  <si>
    <t>263860200722386020100100280008541244</t>
  </si>
  <si>
    <t>Оказание услуг по организации отдыха и оздоровления детей в организации отдыха детей и их оздоровления, расположенной на территории Пермского края</t>
  </si>
  <si>
    <t>263860200722386020100100290008541244</t>
  </si>
  <si>
    <t>Оказание услуг по организации отдыха и оздоровления детей в организации отдыха детей и их оздоровления, расположенной на территории Омской области</t>
  </si>
  <si>
    <t xml:space="preserve">МКУ "УУиООУ"
</t>
  </si>
  <si>
    <t>273860200722386020100100070008690323</t>
  </si>
  <si>
    <t>273860200722386020100100080004939323</t>
  </si>
  <si>
    <t>Оказание автотранспортных услуг по перевозке организованных групп детей (подвоз обучающихся в муниципальное образовательное учреждение)</t>
  </si>
  <si>
    <t>283860200722386020100100030008690323</t>
  </si>
  <si>
    <t>283860200722386020100100040004939323</t>
  </si>
  <si>
    <t>МКУ "УКС"</t>
  </si>
  <si>
    <t>263860200320486020100101050007112414</t>
  </si>
  <si>
    <t>Выполнение проектно-изыскательских работ по объекту: «Сети противопожарного водопровода территории микрорайона 46 (в границах ул. Д. Коротчаева) в г. Сургуте»</t>
  </si>
  <si>
    <t>263860200320486020100100540004299244</t>
  </si>
  <si>
    <t>Выполнение работ по благоустройству объекта: «Строительство спортивной площадки в мкр. 39»</t>
  </si>
  <si>
    <t>263860200320486020100100550004299244</t>
  </si>
  <si>
    <t>Выполнение работ по благоустройству объекта: «Строительство скейт-парка в мкр. 39»</t>
  </si>
  <si>
    <t>263860200320486020100100560004299244</t>
  </si>
  <si>
    <t>Выполнение работ по благоустройству объекта: «Безопасный путь к школе и спортивной площадке в мкр. 39»</t>
  </si>
  <si>
    <t>263860200320486020100100460004299244</t>
  </si>
  <si>
    <t>Выполнение работ по благоустройству объекта: «Безопасный путь к школе и детскому саду в микрорайоне 40»</t>
  </si>
  <si>
    <t>263860200320486020100100470004299244</t>
  </si>
  <si>
    <t>Выполнение работ по благоустройству объекта: «Обустройство территории в парке «Кедровый лог» в г. Сургуте»</t>
  </si>
  <si>
    <t>263860200320486020100100480004299244</t>
  </si>
  <si>
    <t>Выполнение работ по благоустройству объекта: «Пешеходный фонтан в парке «Кедровый лог» в г. Сургуте»</t>
  </si>
  <si>
    <t>263860200320486020100100510004299244</t>
  </si>
  <si>
    <t>Выполнение работ по благоустройству объекта: «Благоустройство территории прилегающей к поселку Лунный в г. Сургуте 1 этап»</t>
  </si>
  <si>
    <t>263860200320486020100101030007112414</t>
  </si>
  <si>
    <t>Выполнение проектно-изыскательских работ по объекту: «Сети противопожарного водопровода территории поселка Госснаб в г. Сургуте»</t>
  </si>
  <si>
    <t>263860200320486020100101180004211414</t>
  </si>
  <si>
    <t>Выполнение работ по строительству объекта: «Инженерные сети и подъездные пути к СОШ в мкр. 30 А»</t>
  </si>
  <si>
    <t>263860200320486020100101190004211414</t>
  </si>
  <si>
    <t>Выполнение работ по строительству объекта: «Инженерные сети к СОШ в мкр. 34 г. Сургута»</t>
  </si>
  <si>
    <t>263860200320486020100100780002910244</t>
  </si>
  <si>
    <t>Поставка легкового автомобиля</t>
  </si>
  <si>
    <t>263860200320486020100100790003101244</t>
  </si>
  <si>
    <t>263860200320486020100101040007112414</t>
  </si>
  <si>
    <t>Выполнение проектно-изыскательских работ по объекту: «Сети противопожарного водопровода территории поселка Снежный в г. Сургуте»</t>
  </si>
  <si>
    <t>263860200320486020100100710008010244</t>
  </si>
  <si>
    <t>Оказание услуг по охране объекта по ул. Островского 14/4</t>
  </si>
  <si>
    <t>263860200320486020100100660004520244</t>
  </si>
  <si>
    <t>Оказание услуг по покраске автотранспортных средств</t>
  </si>
  <si>
    <t>263860200320486020100100670008010244</t>
  </si>
  <si>
    <t>Оказание услуг по охране объекта по ул. И.Захарова,12</t>
  </si>
  <si>
    <t>263860200320486020100100690008010244</t>
  </si>
  <si>
    <t>Оказание услуг по охране объекта: Станция юных натуралистов</t>
  </si>
  <si>
    <t>263860200320486020100100880007112244</t>
  </si>
  <si>
    <t>Выполнение проектно-изыскательских работ по объекту: «Сквер в мкр. 37 в г. Сургуте»</t>
  </si>
  <si>
    <t>263860200320486020100100890007112244</t>
  </si>
  <si>
    <t>Выполнение проектно-изыскательских работ по объекту: «Благоустройство сквера в мкр. 12 г. Сургута»</t>
  </si>
  <si>
    <t>263860200320486020100100900007112244</t>
  </si>
  <si>
    <t>Выполнение проектно-изыскательских работ по объекту: «Благоустройство территории прилегающей к поселку Лунный в г. Сургуте»</t>
  </si>
  <si>
    <t>263860200320486020100100910007112244</t>
  </si>
  <si>
    <t>Выполнение проектно-изыскательских работ по объекту: «Спортивная площадка в поселке Лунный в г. Сургуте»</t>
  </si>
  <si>
    <t>263860200320486020100101010007112414</t>
  </si>
  <si>
    <t>Выполнение проектно-изыскательских работ по объекту: «Сети противопожарного водопровода территории поселка Лесной в г. Сургуте»</t>
  </si>
  <si>
    <t>263860200320486020100100920007112414</t>
  </si>
  <si>
    <t>Выполнение проектно-изыскательских работ по объекту: «Подъездной путь от автодороги г. Сургут - г. Нижневартовск до СТСН "Сосновый Бор № 51", ПСК № 68 "Весеннее", СОТ 57 "Лето", СОТ 54 "Лукоморье", СТСН 46 "Урожай"»</t>
  </si>
  <si>
    <t>263860200320486020100100930007112414</t>
  </si>
  <si>
    <t>Выполнение проектно-изыскательских работ по объекту: «Сети противопожарного водопровода территории кв. № 26 и № 29 (район Черный Мыс) в г. Сургуте»</t>
  </si>
  <si>
    <t>263860200320486020100100940007112414</t>
  </si>
  <si>
    <t>Выполнение проектно-изыскательских работ по объекту: «Переустройство инженерных сетей, расположенных на территориях объектов образования»</t>
  </si>
  <si>
    <t>263860200320486020100100950007112414</t>
  </si>
  <si>
    <t>Выполнение проектно-изыскательских работ по объекту: «Водоснабжение по ул. Нагорная в г. Сургуте»</t>
  </si>
  <si>
    <t>263860200320486020100100960007112414</t>
  </si>
  <si>
    <t>Выполнение проектно-изыскательских работ по объекту: «Внутриквартальные проезды п. Кедровый-2»</t>
  </si>
  <si>
    <t>263860200320486020100100980007112244</t>
  </si>
  <si>
    <t>Выполнение проектно-изыскательских работ по объекту: «Сквер в мкр. 30 в г. Сургуте »</t>
  </si>
  <si>
    <t>263860200320486020100100990007112414</t>
  </si>
  <si>
    <t>Выполнение проектно-изыскательских работ по объекту: «Улица 4 "ЗР" от ул. Восточной до ул. 6 "ЗР" в г. Сургуте»</t>
  </si>
  <si>
    <t>263860200320486020100101000007112414</t>
  </si>
  <si>
    <t>Выполнение проектно-изыскательских работ по объекту: «Сети противопожарного водопровода территории поселка Таежный в г. Сургуте»</t>
  </si>
  <si>
    <t>263860200320486020100101020007112414</t>
  </si>
  <si>
    <t>Выполнение проектно-изыскательских работ по объекту: «Сети противопожарного водопровода территории поселка Лунный в г. Сургуте»</t>
  </si>
  <si>
    <t>263860200320486020100101070007112414</t>
  </si>
  <si>
    <t>Выполнение проектно-изыскательских работ по объекту: «Освобождение земельного участка с кадастровым номером 86:10:0101142:477, предназначенного под строительство школы на 1300 мест в мкр. ЦЖ.1 в г. Сургуте»</t>
  </si>
  <si>
    <t>263860200320486020100101170004211414</t>
  </si>
  <si>
    <t>Выполнение работ по строительству объекта: «Освобождение земельного участка с кадастровым номером 86:10:0101142:477, предназначенного под строительство школы на 1300 мест в мкр. ЦЖ.1 в г. Сургуте»»</t>
  </si>
  <si>
    <t>263860200320486020100100740002620244</t>
  </si>
  <si>
    <t>Приобретение компьютерной техники</t>
  </si>
  <si>
    <t>ДАиГ</t>
  </si>
  <si>
    <t>26 38602003130860201001 0003 000 6831 244</t>
  </si>
  <si>
    <t>Оказание услуг по проведению оценки рыночной стоимости ежегодного размера арендной платы для земельных участков, по проведению оценки рыночной стоимости для земельных участков, предоставляемых в собственность.</t>
  </si>
  <si>
    <t>26 38602003130860201001 0005 000 7111 244</t>
  </si>
  <si>
    <t>Выполнение работ по корректировке проекта межевания и проекта планировки территории улично-дорожной сети города Сургута.</t>
  </si>
  <si>
    <t>26 38602003130860201001 0006 000 7111 244</t>
  </si>
  <si>
    <t>Выполнение дизайн-проекта по объекту "Парк исторической памяти"</t>
  </si>
  <si>
    <t>26 38602003130860201001 0007 000 0000 244</t>
  </si>
  <si>
    <t>Выполнение работ по праздничному оформлению города Сургута</t>
  </si>
  <si>
    <t>26 38602003130860201001 0008 000 4321 244</t>
  </si>
  <si>
    <t>Выполнение работ по эксплуатации, техническому обслуживанию архитектурно-художественного освещения города Сургута</t>
  </si>
  <si>
    <t>26 38602003130860201001 0010 000 4399 244</t>
  </si>
  <si>
    <t>263860200313086020100100020009003244</t>
  </si>
  <si>
    <t>Выполнение работ по изготовлению и установке мемориальной доски</t>
  </si>
  <si>
    <t xml:space="preserve">273860200320486020100100120008010244 </t>
  </si>
  <si>
    <t>273860200320486020100100130008010244</t>
  </si>
  <si>
    <t>273860200320486020100100150008010244</t>
  </si>
  <si>
    <t>273860200320486020100100160003101244</t>
  </si>
  <si>
    <t>ДАИГ</t>
  </si>
  <si>
    <t>27 38602003130860201001 0002 000 9003 244</t>
  </si>
  <si>
    <t>27 38602003130860201001 0003 000 6831 244</t>
  </si>
  <si>
    <t>27 38602003130860201001 0004 000 6831 244</t>
  </si>
  <si>
    <t>Оказание услуг по проведению оценки рыночной стоимости объектов незавершенного строительства для продажи с публичных торгов</t>
  </si>
  <si>
    <t>27 38602003130860201001 0005 000 6831 244</t>
  </si>
  <si>
    <t>Оказание услуг по определению размера возмещения в связи с изъятием земельных участков и расположенных на них объектов недвижимого имущества для муниципальных нужд</t>
  </si>
  <si>
    <t>27 38602003130860201001 0006 000 7112 244</t>
  </si>
  <si>
    <t>Выполнение работ по межеванию земельных участков из земель, находящихся в муниципальной собственности или государственная собственность на которые не разграничена</t>
  </si>
  <si>
    <t>27 38602003130860201001 0009 000 4321 244</t>
  </si>
  <si>
    <t>27 38602003130860201001 0010 000 4299 244</t>
  </si>
  <si>
    <t>Выполнение работ по изготовлению, поставке и монтажу арт-объектов для благоустройства города Сургута</t>
  </si>
  <si>
    <t>27 38602003130860201001 0011 000 7111 244</t>
  </si>
  <si>
    <t>Выполнение работ по благоустройству общественных пространств</t>
  </si>
  <si>
    <t>27 38602003130860201001 0008 000 7111 244</t>
  </si>
  <si>
    <t>Выполнение работ по разработке проекта межевания и проекта планировки территории города Сургута</t>
  </si>
  <si>
    <t>283860200320486020100100020008010244</t>
  </si>
  <si>
    <t>283860200320486020100100030003101244</t>
  </si>
  <si>
    <t>28 38602003130860201001 0002 000 9003 244</t>
  </si>
  <si>
    <t>28 38602003130860201001 0003 000 6831 244</t>
  </si>
  <si>
    <t>28 38602003130860201001 0004 000 6831 244</t>
  </si>
  <si>
    <t>28 38602003130860201001 0005 000 6831 244</t>
  </si>
  <si>
    <t>28 38602003130860201001 0006 000 7112 244</t>
  </si>
  <si>
    <t>28 38602003130860201001 0007 000 7111 244</t>
  </si>
  <si>
    <t>Выполнение работ по изготовлению, поставке, сборке и монтажу объекта «Стела «Память жертвам погибшим в мирное время»</t>
  </si>
  <si>
    <t>ДИЗО Администрации                                                    г. Сургута</t>
  </si>
  <si>
    <t>263860230382586020100100020006831244</t>
  </si>
  <si>
    <t>Оказание услуг по оценке муниципального имущества</t>
  </si>
  <si>
    <t>263860230382586020100100030006832244</t>
  </si>
  <si>
    <t>Оказание услуг по изготовлению технической документации на объекты недвижимого имущества</t>
  </si>
  <si>
    <t>запрос котривок в электронной форме</t>
  </si>
  <si>
    <t>263860230382586020100100050008010244</t>
  </si>
  <si>
    <t>263860230382586020100100070006831244</t>
  </si>
  <si>
    <t>Оказание услуг по оценке рыночной стоимости жилых помещений, жилых (нежилых) помещений в домах, признанных аварийными</t>
  </si>
  <si>
    <t>запрос котировок в электронной форме</t>
  </si>
  <si>
    <t>263860230382586020100100080006831244</t>
  </si>
  <si>
    <t>Оказание услуг по оценке рыночной стоимости недвижимого имущества для обмена жилых помещений инвалидов</t>
  </si>
  <si>
    <t>263860230382586020100100090006810412</t>
  </si>
  <si>
    <t>Приобретение в муниципальную собственность жилого помещения (квартиры)</t>
  </si>
  <si>
    <t>263860230382586020100100100006810412</t>
  </si>
  <si>
    <t>Приобретение в муниципальную собственность жилого помещения для обмена жилого помещения инвалидам, семьям, имеющим детей-инвалидов</t>
  </si>
  <si>
    <t>273860230382586020100100020006831244</t>
  </si>
  <si>
    <t>273860230382586020100100030006832244</t>
  </si>
  <si>
    <t>273860230382586020100100050008010244</t>
  </si>
  <si>
    <t>273860230382586020100100070006810412</t>
  </si>
  <si>
    <t>283860230382586020100100020006831244</t>
  </si>
  <si>
    <t>283860230382586020100100030006832244</t>
  </si>
  <si>
    <t>283860230382586020100100050008010244</t>
  </si>
  <si>
    <t>МКУ "КГХ"</t>
  </si>
  <si>
    <t>26 38602002923860201001 0062 000 6832 244</t>
  </si>
  <si>
    <t>Оказание услуг по изготовлению актов обследования, подтверждающих прекращение существования объектов недвижимости</t>
  </si>
  <si>
    <t xml:space="preserve">Электронный аукцион </t>
  </si>
  <si>
    <t xml:space="preserve"> март 2026</t>
  </si>
  <si>
    <t>26 38602002923860201001 0037 000 2620 244</t>
  </si>
  <si>
    <t>26 38602002923860201001 0068 000 7112 244</t>
  </si>
  <si>
    <t>Выполнение работ по разработке проектов организации работ по сносу объектов капитального строительства</t>
  </si>
  <si>
    <t>26 38602002923860201001 0063 000 6832 244</t>
  </si>
  <si>
    <t>Оказание услуг по изготовлению технической документации на муниципальные жилые помещения</t>
  </si>
  <si>
    <t>26 38602002923860201001 0038 000 1712 244</t>
  </si>
  <si>
    <t>26 38602002923860201001 0066 000 7120 244</t>
  </si>
  <si>
    <t>Оказание услуг по проведению негосударственной экспертизы в форме экспертной оценки достоверности определении сметной стоимости</t>
  </si>
  <si>
    <t>26 38602002923860201001 0044 000 3811 244</t>
  </si>
  <si>
    <t>Оказание услуг по освобождению от имущества нанимателей муниципальных жилых помещений</t>
  </si>
  <si>
    <t>26 38602002923860201001 0058 000 7112 244</t>
  </si>
  <si>
    <t>Выполнение работ по разработке проектно-сметной документации по выполнению электромонтажных работ в нежилых помещениях</t>
  </si>
  <si>
    <t>26 38602002923860201001 0055 000 7112 244</t>
  </si>
  <si>
    <t>Разработка проекта организации работ по сносу</t>
  </si>
  <si>
    <t>26 38602002923860201001 0029 000 4322 244</t>
  </si>
  <si>
    <t>Выполнение работ по установке индивидуальных приборов учета холодного и горячего водоснабжения в муниципальных жилых помещениях</t>
  </si>
  <si>
    <t>26 38602002923860201001 0064 000 7120 244</t>
  </si>
  <si>
    <t>Оказание услуг по обследованию жилого дома на предмет признания его аварийным, а также жилых помещений непригодными для проживания</t>
  </si>
  <si>
    <t>26 38602002923860201001 0054 000 4311 244</t>
  </si>
  <si>
    <t>Снос объектов и сооружений</t>
  </si>
  <si>
    <t>26 38602002923860201001 0065 000 7112 244</t>
  </si>
  <si>
    <t>Разработка проектно-сметной документации по приспособлению общего имущества в многоквартирном доме, в котором проживает инвалид, с учетом его потребностей</t>
  </si>
  <si>
    <t>26 38602002923860201001 0056 000 4329 244</t>
  </si>
  <si>
    <t>Выполнение  работ по приспособлению общего имущества в многоквартирном доме, в котором расположено нежилое помещение по адресу: пр. Комсомольский, д. 36 (АНО ЦСАРТ "Новые возможности")</t>
  </si>
  <si>
    <t>26 38602002923860201001 0061 000 6832 244</t>
  </si>
  <si>
    <t>Оказание услуг по изготовлению технической документации на объекты энергохозяйства</t>
  </si>
  <si>
    <t>26 38602002923860201001 0070 000 4311 244</t>
  </si>
  <si>
    <t>Выполнение работ по освобождению самовольно занятых земельных участков, демонтажу, утилизации, переносу неправомерно размещенных на них движимых объектов</t>
  </si>
  <si>
    <t>26 38602002923860201001 0059 000 4339 244</t>
  </si>
  <si>
    <t>Выполнение работ по ремонту муниципального жилого помещения</t>
  </si>
  <si>
    <t>26 38602002923860201001 0067 000 4329 244</t>
  </si>
  <si>
    <t>Выполнение работ по приспособлению общего имущества в многоквартирном доме, в котором проживает инвалид, с учетом потребностей инвалида</t>
  </si>
  <si>
    <t>26 38602002923860201001 0069 000 4311 244</t>
  </si>
  <si>
    <t>Снос домов, подлежащих выводу из эксплуатации с последующим демонтажем строительных конструкций, в связи с переселением из них граждан</t>
  </si>
  <si>
    <t>Электронный аукцион /Запрос котировок в электронной форме</t>
  </si>
  <si>
    <t>27 38602002923860201001 0034 000 6832 244</t>
  </si>
  <si>
    <t>27 38602002923860201001 0015 000 2620 244</t>
  </si>
  <si>
    <t>27 38602002923860201001 0035 000 7120 244</t>
  </si>
  <si>
    <t>27 38602002923860201001 0023 000 3811 244</t>
  </si>
  <si>
    <t xml:space="preserve">27 38602002923860201001 0008 000 4322 244
</t>
  </si>
  <si>
    <t>Оказание услуг по поверке индивидуальных приборов учета ГХВС</t>
  </si>
  <si>
    <t>27 38602002923860201001 0016 000 1712 244</t>
  </si>
  <si>
    <t>26 38602002923860201001 0034 000 3312 244</t>
  </si>
  <si>
    <t>Техническое обслуживание</t>
  </si>
  <si>
    <t>26 38602002923860201001 0045 000 8129 244</t>
  </si>
  <si>
    <t>Зимняя механизированная уборка территории нежилого здания</t>
  </si>
  <si>
    <t>27 38602002923860201001 0032 000 4339 244</t>
  </si>
  <si>
    <t>26 38602002923860201001 0035 000 8121 244</t>
  </si>
  <si>
    <t>26 38602002923860201001 0057 000 8010 244</t>
  </si>
  <si>
    <t>Оказание услуг по круглосуточному дежурству обслуживающего персонала в общежитии</t>
  </si>
  <si>
    <t>26 38602002923860201001 0060 000 5320 244</t>
  </si>
  <si>
    <t>Оказание услуг по изготовлению и доставке счет – извещений на оплату найма нанимателям муниципальных жилых помещений</t>
  </si>
  <si>
    <t>26 38602002923860201001 0036 000 8010 244</t>
  </si>
  <si>
    <t>26 38602002923860201001 0033 000 4932 244</t>
  </si>
  <si>
    <t>28 38602002923860201001 0011 000 6832 244</t>
  </si>
  <si>
    <t>28 38602002923860201001 0001 000 4322 244</t>
  </si>
  <si>
    <t>28 38602002923860201001 0004 000 2620 244</t>
  </si>
  <si>
    <t>28 38602002923860201001 0012 000 7120 244</t>
  </si>
  <si>
    <t>28 38602002923860201001 0006 000 3811 244</t>
  </si>
  <si>
    <t>28 38602002923860201001 0005 000 1712 244</t>
  </si>
  <si>
    <t>27 38602002923860201001 0012 000 3312 244</t>
  </si>
  <si>
    <t>26 38602002923860201001 0046 000 8129 244</t>
  </si>
  <si>
    <t>28 38602002923860201001 0010 000 4339 244</t>
  </si>
  <si>
    <t>27 38602002923860201001 0013 000 8121 244</t>
  </si>
  <si>
    <t>27 38602002923860201001 0031 000 8010 244</t>
  </si>
  <si>
    <t>27 38602002923860201001 0014 000 8010 244</t>
  </si>
  <si>
    <t>27 38602002923860201001 0033 000 5320 244</t>
  </si>
  <si>
    <t>27 38602002923860201001 0011 000 4932 244</t>
  </si>
  <si>
    <t>февраль  2026</t>
  </si>
  <si>
    <t>февраль  2027</t>
  </si>
  <si>
    <t>февраль  2028</t>
  </si>
  <si>
    <t xml:space="preserve">март  2026 </t>
  </si>
  <si>
    <t>март  2028</t>
  </si>
  <si>
    <t>Контрольно-счетная палата города Сургута</t>
  </si>
  <si>
    <t>263860202735786020100100020006920244</t>
  </si>
  <si>
    <t>Услуги по проведению финансового аудита</t>
  </si>
  <si>
    <t>263860202735786020100100030007112244</t>
  </si>
  <si>
    <t>Услуги геологические и геофизические консультативные</t>
  </si>
  <si>
    <t>263860202735786020100100050006209244</t>
  </si>
  <si>
    <t>Услуги по технической поддержке в области информационных технологий прочие, не включенные в другие группировки</t>
  </si>
  <si>
    <t>273860202735786020100100020006920244</t>
  </si>
  <si>
    <t>273860202735786020100100030007112244</t>
  </si>
  <si>
    <t>273860202735786020100100050006209244</t>
  </si>
  <si>
    <t>283860202735786020100100020006920244</t>
  </si>
  <si>
    <t>283860202735786020100100030007112244</t>
  </si>
  <si>
    <t>283860202735786020100100050006209244</t>
  </si>
  <si>
    <t>Электронный запрос котировок</t>
  </si>
  <si>
    <t>Дума города Сургута</t>
  </si>
  <si>
    <t>263860201128386020100100310005819244</t>
  </si>
  <si>
    <t>Оказание услуг по изготовлению и поставке сувенирной продукции (открытки с вкладышем и конвертом)</t>
  </si>
  <si>
    <t xml:space="preserve">электронный аукцион </t>
  </si>
  <si>
    <t>263860201128386020100100320001512244</t>
  </si>
  <si>
    <t>Оказание услуг по изготовлению и поставке сувенирной продукции (папки для памятных адресов)</t>
  </si>
  <si>
    <t>180,0</t>
  </si>
  <si>
    <t>263860201128386020100100330005819244</t>
  </si>
  <si>
    <t>Оказание услуг по изготовлению и поставке сувенирной продукции (памятный адрес)</t>
  </si>
  <si>
    <t>65,0</t>
  </si>
  <si>
    <t>263860201128386020100100340001721244</t>
  </si>
  <si>
    <t>Оказание услуг по изготовлению и поставке сувенирной продукции (подарочные пакеты)</t>
  </si>
  <si>
    <t>50,0</t>
  </si>
  <si>
    <t>263860201128386020100100350001723244</t>
  </si>
  <si>
    <t>Оказание услуг по изготовлению и поставке наборов сувенирной продукции (ежедневник, планинг)</t>
  </si>
  <si>
    <t>150,0</t>
  </si>
  <si>
    <t>263860201128386020100100360005819244</t>
  </si>
  <si>
    <t>Оказание услуг по изготовлению и поставке сувенирной продукции (календари с гербом города Сургута и надписью "Дума города Сургута")</t>
  </si>
  <si>
    <t>263860201128386020100100370000119244</t>
  </si>
  <si>
    <t>Изготовление и поставка цветочных композиций в 2026 году</t>
  </si>
  <si>
    <t>710,0</t>
  </si>
  <si>
    <t>263860201128386020100100400008621244</t>
  </si>
  <si>
    <t>запрос котировок</t>
  </si>
  <si>
    <t>179,0</t>
  </si>
  <si>
    <t>Итого предусмотрено на осуществление закупок в текущем году:</t>
  </si>
  <si>
    <t>1509,0</t>
  </si>
  <si>
    <t>263860201128386020100100410000119244</t>
  </si>
  <si>
    <t>Изготовление и поставка цветочных композиций в 2027 году</t>
  </si>
  <si>
    <t>263860201128386020100100420005911244</t>
  </si>
  <si>
    <t>Оказание услуг по информационному обслуживанию Думы города Сургута в электронных средствах массовой информации (телевидение) в 2027 году</t>
  </si>
  <si>
    <t>2600,0</t>
  </si>
  <si>
    <t>263860201128386020100100430006311244</t>
  </si>
  <si>
    <t>Оказание услуг по информационному обслуживанию деятельности Думы города Сургута в Интернете в 2027 году</t>
  </si>
  <si>
    <t>1000,0</t>
  </si>
  <si>
    <t>263860201128386020100100440001811244</t>
  </si>
  <si>
    <t>Оказание услуг по информационному освещению деятельности Думы города Сургута в печатных средствах массовой информации в 2027 году</t>
  </si>
  <si>
    <t>263860201128386020100100450001811244</t>
  </si>
  <si>
    <t>300,0</t>
  </si>
  <si>
    <t>263860201128386020100100460005920244</t>
  </si>
  <si>
    <t>Оказание услуг по информационному обслуживанию Думы города Сургута в электронных средствах массовой информации (радио) в 2027 году</t>
  </si>
  <si>
    <t>500,0</t>
  </si>
  <si>
    <t>263860201128386020100100470005911244</t>
  </si>
  <si>
    <t>2000,0</t>
  </si>
  <si>
    <t>263860201128386020100100480000000244</t>
  </si>
  <si>
    <t>Оказание услуг по информационному обслуживанию Думы города Сургута в электронных средствах массовой информации (телевидение и интернет) в 2027 году</t>
  </si>
  <si>
    <t>263860201128386020100100490005920244</t>
  </si>
  <si>
    <t>400,0</t>
  </si>
  <si>
    <t>263860201128386020100100500001811244</t>
  </si>
  <si>
    <t>273860201128386020100100100005819244</t>
  </si>
  <si>
    <t>273860201128386020100100110008621244</t>
  </si>
  <si>
    <t>273860201128386020100100120001512244</t>
  </si>
  <si>
    <t>273860201128386020100100130001721244</t>
  </si>
  <si>
    <t>273860201128386020100100140005819244</t>
  </si>
  <si>
    <t>125,0</t>
  </si>
  <si>
    <t>273860201128386020100100150001723244</t>
  </si>
  <si>
    <t>150</t>
  </si>
  <si>
    <t>273860201128386020100100160005819244</t>
  </si>
  <si>
    <t>10209,0</t>
  </si>
  <si>
    <t>273860201128386020100100190001811244</t>
  </si>
  <si>
    <t>Оказание услуг по информационному освещению деятельности Думы города Сургута в печатных средствах массовой информации в 2028 году</t>
  </si>
  <si>
    <t>273860201128386020100100200005920244</t>
  </si>
  <si>
    <t>Оказание услуг по информационному обслуживанию Думы города Сургута в электронных средствах массовой информации (радио) в 2028 году</t>
  </si>
  <si>
    <t>273860201128386020100100210005920244</t>
  </si>
  <si>
    <t>273860201128386020100100220000119244</t>
  </si>
  <si>
    <t>Изготовление и поставка цветочных композиций в 2028 году</t>
  </si>
  <si>
    <t>273860201128386020100100230000000244</t>
  </si>
  <si>
    <t>Оказание услуг по информационному обслуживанию Думы города Сургута в электронных средствах массовой информации (телевидение и интернет) в 2028 году</t>
  </si>
  <si>
    <t>273860201128386020100100240001811244</t>
  </si>
  <si>
    <t>273860201128386020100100250005911244</t>
  </si>
  <si>
    <t>Оказание услуг по информационному обслуживанию Думы города Сургута в электронных средствах массовой информации (телевидение) в 2028 году</t>
  </si>
  <si>
    <t>273860201128386020100100260005911244</t>
  </si>
  <si>
    <t>273860201128386020100100270001811244</t>
  </si>
  <si>
    <t>273860201128386020100100280006311244</t>
  </si>
  <si>
    <t>Оказание услуг по информационному обслуживанию деятельности Думы города Сургута в Интернете в 2028 году</t>
  </si>
  <si>
    <t>283860201128386020100100010005819244</t>
  </si>
  <si>
    <t>283860201128386020100100020005819244</t>
  </si>
  <si>
    <t>283860201128386020100100030001721244</t>
  </si>
  <si>
    <t>283860201128386020100100040005819244</t>
  </si>
  <si>
    <t>283860201128386020100100060001512244</t>
  </si>
  <si>
    <t>283860201128386020100100070001723244</t>
  </si>
  <si>
    <t>283860201128386020100100080008621244</t>
  </si>
  <si>
    <t>октябр, 2026</t>
  </si>
  <si>
    <t>октябр, 2027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</si>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</sst>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#,##0.00\ _₽"/>
    <numFmt numFmtId="165" formatCode="#,##0.00;[Red]#,##0.00"/>
    <numFmt numFmtId="166" formatCode="[$-419]mmmm\ yyyy;@"/>
    <numFmt numFmtId="167" formatCode="?"/>
    <numFmt numFmtId="168" formatCode="#,##0.00000"/>
    <numFmt numFmtId="169" formatCode="_-* #,##0.00\ _₽_-;\-* #,##0.00\ _₽_-;_-* &quot;-&quot;??\ _₽_-;_-@_-"/>
    <numFmt numFmtId="170" formatCode="#,##0.0,"/>
  </numFmts>
  <fonts count="2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2"/>
    </font>
    <font>
      <sz val="10"/>
      <name val="Calibri"/>
      <family val="2"/>
      <scheme val="minor"/>
    </font>
    <font>
      <b/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</cellStyleXfs>
  <cellXfs count="358">
    <xf numFmtId="0" fontId="0" fillId="0" borderId="0" xfId="0"/>
    <xf numFmtId="49" fontId="5" fillId="0" borderId="4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5" fillId="0" borderId="13" xfId="2" applyNumberFormat="1" applyFont="1" applyFill="1" applyBorder="1" applyAlignment="1">
      <alignment horizontal="center" vertical="center" wrapText="1"/>
    </xf>
    <xf numFmtId="49" fontId="5" fillId="0" borderId="14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7" xfId="2" applyNumberFormat="1" applyFont="1" applyFill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167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4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49" fontId="5" fillId="0" borderId="1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4" fontId="7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4" xfId="2" applyNumberFormat="1" applyFont="1" applyFill="1" applyBorder="1" applyAlignment="1">
      <alignment horizontal="center" vertical="center" wrapText="1"/>
    </xf>
    <xf numFmtId="49" fontId="14" fillId="0" borderId="4" xfId="2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7" fillId="0" borderId="0" xfId="0" applyNumberFormat="1" applyFont="1" applyFill="1" applyAlignment="1">
      <alignment horizontal="left" vertical="center" wrapText="1"/>
    </xf>
    <xf numFmtId="4" fontId="10" fillId="0" borderId="0" xfId="0" applyNumberFormat="1" applyFont="1" applyFill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9" fontId="13" fillId="0" borderId="0" xfId="0" applyNumberFormat="1" applyFont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2" borderId="4" xfId="2" applyNumberFormat="1" applyFont="1" applyFill="1" applyBorder="1" applyAlignment="1">
      <alignment horizontal="center" vertical="center" wrapText="1"/>
    </xf>
    <xf numFmtId="49" fontId="5" fillId="2" borderId="7" xfId="2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6" fontId="4" fillId="2" borderId="4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" fontId="5" fillId="2" borderId="4" xfId="1" applyNumberFormat="1" applyFont="1" applyFill="1" applyBorder="1" applyAlignment="1">
      <alignment horizontal="center" vertical="center" wrapText="1"/>
    </xf>
    <xf numFmtId="166" fontId="5" fillId="2" borderId="4" xfId="0" applyNumberFormat="1" applyFont="1" applyFill="1" applyBorder="1" applyAlignment="1">
      <alignment horizontal="center" vertical="center" wrapText="1"/>
    </xf>
    <xf numFmtId="170" fontId="4" fillId="2" borderId="4" xfId="0" applyNumberFormat="1" applyFont="1" applyFill="1" applyBorder="1" applyAlignment="1">
      <alignment horizontal="center" vertical="center" wrapText="1"/>
    </xf>
    <xf numFmtId="170" fontId="5" fillId="2" borderId="4" xfId="0" applyNumberFormat="1" applyFont="1" applyFill="1" applyBorder="1" applyAlignment="1">
      <alignment horizontal="center" vertical="center" wrapText="1"/>
    </xf>
    <xf numFmtId="170" fontId="4" fillId="2" borderId="4" xfId="0" applyNumberFormat="1" applyFont="1" applyFill="1" applyBorder="1" applyAlignment="1" applyProtection="1">
      <alignment horizontal="center" vertical="center" wrapText="1"/>
    </xf>
    <xf numFmtId="170" fontId="5" fillId="2" borderId="3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3" fontId="4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0" fontId="4" fillId="2" borderId="3" xfId="0" applyNumberFormat="1" applyFont="1" applyFill="1" applyBorder="1" applyAlignment="1" applyProtection="1">
      <alignment horizontal="center" vertical="center" wrapText="1"/>
    </xf>
    <xf numFmtId="170" fontId="4" fillId="2" borderId="6" xfId="0" applyNumberFormat="1" applyFont="1" applyFill="1" applyBorder="1" applyAlignment="1">
      <alignment horizontal="center" vertical="center" wrapText="1"/>
    </xf>
    <xf numFmtId="170" fontId="4" fillId="2" borderId="3" xfId="0" applyNumberFormat="1" applyFont="1" applyFill="1" applyBorder="1" applyAlignment="1">
      <alignment horizontal="center" vertical="center" wrapText="1"/>
    </xf>
    <xf numFmtId="49" fontId="5" fillId="2" borderId="18" xfId="2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5" fillId="2" borderId="3" xfId="2" applyNumberFormat="1" applyFont="1" applyFill="1" applyBorder="1" applyAlignment="1">
      <alignment horizontal="center" vertical="center" wrapText="1"/>
    </xf>
    <xf numFmtId="170" fontId="4" fillId="2" borderId="0" xfId="0" applyNumberFormat="1" applyFont="1" applyFill="1" applyAlignment="1">
      <alignment horizontal="center" vertical="center" wrapText="1"/>
    </xf>
    <xf numFmtId="170" fontId="5" fillId="2" borderId="4" xfId="0" applyNumberFormat="1" applyFont="1" applyFill="1" applyBorder="1" applyAlignment="1" applyProtection="1">
      <alignment horizontal="center" vertical="center" wrapText="1"/>
    </xf>
    <xf numFmtId="170" fontId="18" fillId="2" borderId="4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0" fontId="6" fillId="2" borderId="4" xfId="0" applyNumberFormat="1" applyFont="1" applyFill="1" applyBorder="1" applyAlignment="1">
      <alignment horizontal="center" vertical="center" wrapText="1"/>
    </xf>
    <xf numFmtId="170" fontId="6" fillId="2" borderId="3" xfId="0" applyNumberFormat="1" applyFont="1" applyFill="1" applyBorder="1" applyAlignment="1" applyProtection="1">
      <alignment horizontal="center" vertical="center" wrapText="1"/>
    </xf>
    <xf numFmtId="170" fontId="6" fillId="2" borderId="4" xfId="0" applyNumberFormat="1" applyFont="1" applyFill="1" applyBorder="1" applyAlignment="1" applyProtection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170" fontId="6" fillId="2" borderId="4" xfId="1" applyNumberFormat="1" applyFont="1" applyFill="1" applyBorder="1" applyAlignment="1">
      <alignment horizontal="center" vertical="center" wrapText="1"/>
    </xf>
    <xf numFmtId="4" fontId="7" fillId="2" borderId="4" xfId="1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166" fontId="16" fillId="0" borderId="4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3" fontId="16" fillId="0" borderId="7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Alignment="1">
      <alignment horizontal="center" vertical="center" wrapText="1"/>
    </xf>
    <xf numFmtId="3" fontId="16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49" fontId="17" fillId="0" borderId="4" xfId="0" applyNumberFormat="1" applyFont="1" applyBorder="1" applyAlignment="1">
      <alignment horizontal="left" vertical="center" wrapText="1"/>
    </xf>
    <xf numFmtId="49" fontId="17" fillId="0" borderId="4" xfId="2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 shrinkToFit="1"/>
    </xf>
    <xf numFmtId="49" fontId="17" fillId="0" borderId="4" xfId="2" applyNumberFormat="1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 shrinkToFit="1"/>
    </xf>
    <xf numFmtId="49" fontId="16" fillId="0" borderId="4" xfId="0" applyNumberFormat="1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center" vertical="center" wrapText="1" shrinkToFit="1"/>
    </xf>
    <xf numFmtId="49" fontId="16" fillId="0" borderId="4" xfId="0" applyNumberFormat="1" applyFont="1" applyBorder="1" applyAlignment="1">
      <alignment horizontal="center" vertical="center" wrapText="1" shrinkToFit="1"/>
    </xf>
    <xf numFmtId="0" fontId="16" fillId="0" borderId="0" xfId="0" applyFont="1" applyBorder="1" applyAlignment="1">
      <alignment horizontal="center" vertical="center" wrapText="1" shrinkToFit="1"/>
    </xf>
    <xf numFmtId="17" fontId="16" fillId="0" borderId="0" xfId="0" applyNumberFormat="1" applyFont="1" applyFill="1" applyBorder="1" applyAlignment="1">
      <alignment horizontal="center" vertical="center" wrapText="1" shrinkToFit="1"/>
    </xf>
    <xf numFmtId="0" fontId="19" fillId="0" borderId="4" xfId="0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 shrinkToFit="1"/>
    </xf>
    <xf numFmtId="166" fontId="16" fillId="0" borderId="4" xfId="0" applyNumberFormat="1" applyFont="1" applyFill="1" applyBorder="1" applyAlignment="1">
      <alignment horizontal="center" vertical="center" wrapText="1" shrinkToFit="1"/>
    </xf>
    <xf numFmtId="49" fontId="19" fillId="0" borderId="1" xfId="0" applyNumberFormat="1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wrapText="1"/>
    </xf>
    <xf numFmtId="0" fontId="5" fillId="0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166" fontId="5" fillId="0" borderId="4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left" vertical="top"/>
    </xf>
    <xf numFmtId="166" fontId="7" fillId="0" borderId="4" xfId="0" applyNumberFormat="1" applyFont="1" applyBorder="1" applyAlignment="1">
      <alignment horizontal="center" vertical="center"/>
    </xf>
    <xf numFmtId="49" fontId="21" fillId="3" borderId="9" xfId="0" applyNumberFormat="1" applyFont="1" applyFill="1" applyBorder="1" applyAlignment="1" applyProtection="1">
      <alignment horizontal="center" vertical="center" wrapText="1"/>
    </xf>
    <xf numFmtId="49" fontId="21" fillId="3" borderId="4" xfId="0" applyNumberFormat="1" applyFont="1" applyFill="1" applyBorder="1" applyAlignment="1" applyProtection="1">
      <alignment horizontal="center" vertical="center" wrapText="1"/>
    </xf>
    <xf numFmtId="49" fontId="21" fillId="3" borderId="10" xfId="0" applyNumberFormat="1" applyFont="1" applyFill="1" applyBorder="1" applyAlignment="1" applyProtection="1">
      <alignment horizontal="center" vertical="center" wrapText="1"/>
    </xf>
    <xf numFmtId="49" fontId="21" fillId="3" borderId="1" xfId="0" applyNumberFormat="1" applyFont="1" applyFill="1" applyBorder="1" applyAlignment="1" applyProtection="1">
      <alignment horizontal="center" vertical="center" wrapText="1"/>
    </xf>
    <xf numFmtId="0" fontId="21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4" xfId="0" applyNumberFormat="1" applyFont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4" fontId="6" fillId="2" borderId="4" xfId="1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 applyProtection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 applyProtection="1">
      <alignment horizontal="center" vertical="center" wrapText="1"/>
    </xf>
    <xf numFmtId="165" fontId="8" fillId="2" borderId="9" xfId="0" applyNumberFormat="1" applyFont="1" applyFill="1" applyBorder="1" applyAlignment="1" applyProtection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4" fontId="4" fillId="2" borderId="4" xfId="1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 applyProtection="1">
      <alignment horizontal="center" vertical="center" wrapText="1"/>
    </xf>
    <xf numFmtId="169" fontId="4" fillId="2" borderId="4" xfId="0" applyNumberFormat="1" applyFont="1" applyFill="1" applyBorder="1" applyAlignment="1">
      <alignment vertical="center" wrapText="1"/>
    </xf>
    <xf numFmtId="43" fontId="15" fillId="2" borderId="4" xfId="1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4" fontId="16" fillId="2" borderId="4" xfId="1" applyNumberFormat="1" applyFont="1" applyFill="1" applyBorder="1" applyAlignment="1">
      <alignment horizontal="center" vertical="center" wrapText="1"/>
    </xf>
    <xf numFmtId="4" fontId="17" fillId="2" borderId="4" xfId="0" applyNumberFormat="1" applyFont="1" applyFill="1" applyBorder="1" applyAlignment="1">
      <alignment horizontal="center" vertical="center" wrapText="1"/>
    </xf>
    <xf numFmtId="4" fontId="19" fillId="2" borderId="4" xfId="1" applyNumberFormat="1" applyFont="1" applyFill="1" applyBorder="1" applyAlignment="1">
      <alignment horizontal="center" vertical="center" wrapText="1"/>
    </xf>
    <xf numFmtId="43" fontId="19" fillId="2" borderId="4" xfId="1" applyFont="1" applyFill="1" applyBorder="1" applyAlignment="1">
      <alignment vertical="center" wrapText="1"/>
    </xf>
    <xf numFmtId="4" fontId="17" fillId="2" borderId="4" xfId="0" applyNumberFormat="1" applyFont="1" applyFill="1" applyBorder="1" applyAlignment="1">
      <alignment horizontal="right" vertical="center" wrapText="1"/>
    </xf>
    <xf numFmtId="43" fontId="19" fillId="2" borderId="4" xfId="1" applyFont="1" applyFill="1" applyBorder="1" applyAlignment="1">
      <alignment horizontal="center" vertical="center" wrapText="1"/>
    </xf>
    <xf numFmtId="4" fontId="19" fillId="2" borderId="4" xfId="0" applyNumberFormat="1" applyFont="1" applyFill="1" applyBorder="1" applyAlignment="1">
      <alignment horizontal="center" vertical="center" wrapText="1"/>
    </xf>
    <xf numFmtId="4" fontId="17" fillId="2" borderId="4" xfId="0" applyNumberFormat="1" applyFont="1" applyFill="1" applyBorder="1" applyAlignment="1">
      <alignment horizontal="center" vertical="center" wrapText="1" shrinkToFit="1"/>
    </xf>
    <xf numFmtId="4" fontId="16" fillId="2" borderId="4" xfId="0" applyNumberFormat="1" applyFont="1" applyFill="1" applyBorder="1" applyAlignment="1">
      <alignment horizontal="center" vertical="center" wrapText="1" shrinkToFit="1"/>
    </xf>
    <xf numFmtId="4" fontId="19" fillId="2" borderId="4" xfId="0" applyNumberFormat="1" applyFont="1" applyFill="1" applyBorder="1" applyAlignment="1">
      <alignment horizontal="center" vertical="center" wrapText="1" shrinkToFit="1"/>
    </xf>
    <xf numFmtId="4" fontId="19" fillId="2" borderId="1" xfId="0" applyNumberFormat="1" applyFont="1" applyFill="1" applyBorder="1" applyAlignment="1">
      <alignment horizontal="center" vertical="center" wrapText="1" shrinkToFit="1"/>
    </xf>
    <xf numFmtId="2" fontId="5" fillId="2" borderId="4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169" fontId="21" fillId="2" borderId="9" xfId="0" applyNumberFormat="1" applyFont="1" applyFill="1" applyBorder="1" applyAlignment="1" applyProtection="1">
      <alignment horizontal="center" vertical="center" wrapText="1"/>
    </xf>
    <xf numFmtId="169" fontId="22" fillId="2" borderId="11" xfId="0" applyNumberFormat="1" applyFont="1" applyFill="1" applyBorder="1" applyAlignment="1" applyProtection="1">
      <alignment horizontal="center" vertical="center" wrapText="1"/>
    </xf>
    <xf numFmtId="169" fontId="21" fillId="2" borderId="11" xfId="0" applyNumberFormat="1" applyFont="1" applyFill="1" applyBorder="1" applyAlignment="1" applyProtection="1">
      <alignment horizontal="center" vertical="center" wrapText="1"/>
    </xf>
    <xf numFmtId="169" fontId="21" fillId="2" borderId="25" xfId="0" applyNumberFormat="1" applyFont="1" applyFill="1" applyBorder="1" applyAlignment="1" applyProtection="1">
      <alignment horizontal="center" vertical="center" wrapText="1"/>
    </xf>
    <xf numFmtId="169" fontId="19" fillId="2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11" xfId="0" applyNumberFormat="1" applyFont="1" applyFill="1" applyBorder="1" applyAlignment="1" applyProtection="1">
      <alignment horizontal="center" vertical="center" wrapText="1"/>
    </xf>
    <xf numFmtId="165" fontId="5" fillId="2" borderId="4" xfId="0" applyNumberFormat="1" applyFont="1" applyFill="1" applyBorder="1" applyAlignment="1" applyProtection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6" xfId="1" applyNumberFormat="1" applyFont="1" applyFill="1" applyBorder="1" applyAlignment="1">
      <alignment horizontal="center" vertical="center" wrapText="1"/>
    </xf>
    <xf numFmtId="168" fontId="4" fillId="2" borderId="4" xfId="0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2" fontId="16" fillId="2" borderId="4" xfId="0" applyNumberFormat="1" applyFont="1" applyFill="1" applyBorder="1" applyAlignment="1">
      <alignment horizontal="center" vertical="center" wrapText="1"/>
    </xf>
    <xf numFmtId="2" fontId="16" fillId="2" borderId="4" xfId="1" applyNumberFormat="1" applyFont="1" applyFill="1" applyBorder="1" applyAlignment="1">
      <alignment horizontal="center" vertical="center" wrapText="1"/>
    </xf>
    <xf numFmtId="2" fontId="19" fillId="2" borderId="4" xfId="1" applyNumberFormat="1" applyFont="1" applyFill="1" applyBorder="1" applyAlignment="1">
      <alignment horizontal="center" vertical="center" wrapText="1"/>
    </xf>
    <xf numFmtId="2" fontId="19" fillId="2" borderId="4" xfId="0" applyNumberFormat="1" applyFont="1" applyFill="1" applyBorder="1" applyAlignment="1">
      <alignment horizontal="center" vertical="center" wrapText="1"/>
    </xf>
    <xf numFmtId="169" fontId="22" fillId="2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49" fontId="5" fillId="0" borderId="13" xfId="2" applyNumberFormat="1" applyFont="1" applyFill="1" applyBorder="1" applyAlignment="1">
      <alignment horizontal="center" vertical="center" wrapText="1"/>
    </xf>
    <xf numFmtId="49" fontId="5" fillId="0" borderId="31" xfId="2" applyNumberFormat="1" applyFont="1" applyFill="1" applyBorder="1" applyAlignment="1">
      <alignment horizontal="center" vertical="center" wrapText="1"/>
    </xf>
    <xf numFmtId="49" fontId="5" fillId="0" borderId="32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2" xfId="2" applyNumberFormat="1" applyFont="1" applyFill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21" fillId="3" borderId="14" xfId="0" applyNumberFormat="1" applyFont="1" applyFill="1" applyBorder="1" applyAlignment="1" applyProtection="1">
      <alignment horizontal="center" vertical="center" wrapText="1"/>
    </xf>
    <xf numFmtId="49" fontId="21" fillId="3" borderId="26" xfId="0" applyNumberFormat="1" applyFont="1" applyFill="1" applyBorder="1" applyAlignment="1" applyProtection="1">
      <alignment horizontal="center" vertical="center" wrapText="1"/>
    </xf>
    <xf numFmtId="49" fontId="21" fillId="3" borderId="27" xfId="0" applyNumberFormat="1" applyFont="1" applyFill="1" applyBorder="1" applyAlignment="1" applyProtection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49" fontId="21" fillId="3" borderId="25" xfId="0" applyNumberFormat="1" applyFont="1" applyFill="1" applyBorder="1" applyAlignment="1" applyProtection="1">
      <alignment horizontal="center" vertical="center" wrapText="1"/>
    </xf>
    <xf numFmtId="49" fontId="21" fillId="3" borderId="23" xfId="0" applyNumberFormat="1" applyFont="1" applyFill="1" applyBorder="1" applyAlignment="1" applyProtection="1">
      <alignment horizontal="center" vertical="center" wrapText="1"/>
    </xf>
    <xf numFmtId="49" fontId="21" fillId="3" borderId="30" xfId="0" applyNumberFormat="1" applyFont="1" applyFill="1" applyBorder="1" applyAlignment="1" applyProtection="1">
      <alignment horizontal="center" vertical="center" wrapText="1"/>
    </xf>
    <xf numFmtId="49" fontId="22" fillId="3" borderId="11" xfId="0" applyNumberFormat="1" applyFont="1" applyFill="1" applyBorder="1" applyAlignment="1" applyProtection="1">
      <alignment horizontal="left" vertical="center" wrapText="1"/>
    </xf>
    <xf numFmtId="49" fontId="22" fillId="3" borderId="22" xfId="0" applyNumberFormat="1" applyFont="1" applyFill="1" applyBorder="1" applyAlignment="1" applyProtection="1">
      <alignment horizontal="left" vertical="center" wrapText="1"/>
    </xf>
    <xf numFmtId="49" fontId="22" fillId="3" borderId="12" xfId="0" applyNumberFormat="1" applyFont="1" applyFill="1" applyBorder="1" applyAlignment="1" applyProtection="1">
      <alignment horizontal="left" vertical="center" wrapText="1"/>
    </xf>
    <xf numFmtId="49" fontId="22" fillId="3" borderId="23" xfId="0" applyNumberFormat="1" applyFont="1" applyFill="1" applyBorder="1" applyAlignment="1" applyProtection="1">
      <alignment horizontal="left" vertical="center" wrapText="1"/>
    </xf>
    <xf numFmtId="49" fontId="22" fillId="3" borderId="0" xfId="0" applyNumberFormat="1" applyFont="1" applyFill="1" applyBorder="1" applyAlignment="1" applyProtection="1">
      <alignment horizontal="left" vertical="center" wrapText="1"/>
    </xf>
    <xf numFmtId="49" fontId="22" fillId="3" borderId="24" xfId="0" applyNumberFormat="1" applyFont="1" applyFill="1" applyBorder="1" applyAlignment="1" applyProtection="1">
      <alignment horizontal="left" vertical="center" wrapText="1"/>
    </xf>
    <xf numFmtId="49" fontId="22" fillId="3" borderId="4" xfId="0" applyNumberFormat="1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16" fillId="0" borderId="2" xfId="0" applyFont="1" applyBorder="1" applyAlignment="1">
      <alignment horizontal="center" vertical="center" wrapText="1" shrinkToFit="1"/>
    </xf>
    <xf numFmtId="0" fontId="16" fillId="0" borderId="3" xfId="0" applyFont="1" applyBorder="1" applyAlignment="1">
      <alignment horizontal="center" vertical="center" wrapText="1" shrinkToFit="1"/>
    </xf>
    <xf numFmtId="0" fontId="19" fillId="0" borderId="20" xfId="0" applyFont="1" applyFill="1" applyBorder="1" applyAlignment="1">
      <alignment horizontal="left" vertical="center" wrapText="1" shrinkToFit="1"/>
    </xf>
    <xf numFmtId="0" fontId="19" fillId="0" borderId="19" xfId="0" applyFont="1" applyBorder="1" applyAlignment="1">
      <alignment horizontal="left" vertical="center" wrapText="1" shrinkToFit="1"/>
    </xf>
    <xf numFmtId="0" fontId="11" fillId="0" borderId="4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 shrinkToFit="1"/>
    </xf>
    <xf numFmtId="0" fontId="16" fillId="0" borderId="3" xfId="0" applyFont="1" applyBorder="1" applyAlignment="1">
      <alignment vertical="center" wrapText="1" shrinkToFit="1"/>
    </xf>
    <xf numFmtId="0" fontId="19" fillId="0" borderId="5" xfId="0" applyFont="1" applyFill="1" applyBorder="1" applyAlignment="1">
      <alignment horizontal="left" vertical="center" wrapText="1" shrinkToFit="1"/>
    </xf>
    <xf numFmtId="0" fontId="19" fillId="0" borderId="8" xfId="0" applyFont="1" applyBorder="1" applyAlignment="1">
      <alignment horizontal="left" vertical="center" wrapText="1" shrinkToFit="1"/>
    </xf>
    <xf numFmtId="0" fontId="16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3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86"/>
  <sheetViews>
    <sheetView tabSelected="1" zoomScale="79" zoomScaleNormal="79" workbookViewId="0">
      <selection activeCell="A1786" sqref="A1786:E1786"/>
    </sheetView>
  </sheetViews>
  <sheetFormatPr defaultColWidth="9.109375" defaultRowHeight="13.2" x14ac:dyDescent="0.3"/>
  <cols>
    <col min="1" max="1" width="4.88671875" style="26" customWidth="1"/>
    <col min="2" max="2" width="26.21875" style="26" customWidth="1"/>
    <col min="3" max="3" width="37.6640625" style="26" customWidth="1"/>
    <col min="4" max="4" width="38.109375" style="26" customWidth="1"/>
    <col min="5" max="5" width="17.33203125" style="26" customWidth="1"/>
    <col min="6" max="6" width="15.44140625" style="190" customWidth="1"/>
    <col min="7" max="7" width="14.44140625" style="225" customWidth="1"/>
    <col min="8" max="8" width="15.109375" style="225" customWidth="1"/>
    <col min="9" max="9" width="15.33203125" style="225" customWidth="1"/>
    <col min="10" max="10" width="12.6640625" style="225" customWidth="1"/>
    <col min="11" max="11" width="16.5546875" style="26" customWidth="1"/>
    <col min="12" max="12" width="12.21875" style="26" bestFit="1" customWidth="1"/>
    <col min="13" max="16384" width="9.109375" style="26"/>
  </cols>
  <sheetData>
    <row r="2" spans="1:11" s="27" customFormat="1" ht="15" customHeight="1" x14ac:dyDescent="0.3">
      <c r="A2" s="349" t="s">
        <v>11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</row>
    <row r="3" spans="1:11" s="27" customFormat="1" ht="16.2" customHeight="1" x14ac:dyDescent="0.3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</row>
    <row r="4" spans="1:11" s="28" customFormat="1" ht="30" customHeight="1" x14ac:dyDescent="0.3">
      <c r="A4" s="353" t="s">
        <v>0</v>
      </c>
      <c r="B4" s="353" t="s">
        <v>17</v>
      </c>
      <c r="C4" s="356" t="s">
        <v>1</v>
      </c>
      <c r="D4" s="357"/>
      <c r="E4" s="350" t="s">
        <v>3</v>
      </c>
      <c r="F4" s="351" t="s">
        <v>4</v>
      </c>
      <c r="G4" s="352" t="s">
        <v>16</v>
      </c>
      <c r="H4" s="352"/>
      <c r="I4" s="352"/>
      <c r="J4" s="352"/>
      <c r="K4" s="350" t="s">
        <v>10</v>
      </c>
    </row>
    <row r="5" spans="1:11" s="28" customFormat="1" ht="26.25" customHeight="1" x14ac:dyDescent="0.3">
      <c r="A5" s="354"/>
      <c r="B5" s="354"/>
      <c r="C5" s="350" t="s">
        <v>20</v>
      </c>
      <c r="D5" s="353" t="s">
        <v>2</v>
      </c>
      <c r="E5" s="350"/>
      <c r="F5" s="351"/>
      <c r="G5" s="352" t="s">
        <v>5</v>
      </c>
      <c r="H5" s="352" t="s">
        <v>6</v>
      </c>
      <c r="I5" s="352"/>
      <c r="J5" s="352" t="s">
        <v>9</v>
      </c>
      <c r="K5" s="350"/>
    </row>
    <row r="6" spans="1:11" s="28" customFormat="1" ht="49.95" customHeight="1" x14ac:dyDescent="0.3">
      <c r="A6" s="355"/>
      <c r="B6" s="355"/>
      <c r="C6" s="350"/>
      <c r="D6" s="355"/>
      <c r="E6" s="350"/>
      <c r="F6" s="351"/>
      <c r="G6" s="352"/>
      <c r="H6" s="226" t="s">
        <v>7</v>
      </c>
      <c r="I6" s="226" t="s">
        <v>8</v>
      </c>
      <c r="J6" s="352"/>
      <c r="K6" s="350"/>
    </row>
    <row r="7" spans="1:11" s="28" customFormat="1" ht="15" customHeight="1" x14ac:dyDescent="0.3">
      <c r="A7" s="52">
        <v>1</v>
      </c>
      <c r="B7" s="59">
        <v>2</v>
      </c>
      <c r="C7" s="60" t="s">
        <v>12</v>
      </c>
      <c r="D7" s="60" t="s">
        <v>13</v>
      </c>
      <c r="E7" s="60" t="s">
        <v>15</v>
      </c>
      <c r="F7" s="191">
        <v>6</v>
      </c>
      <c r="G7" s="191">
        <v>7</v>
      </c>
      <c r="H7" s="226">
        <v>8</v>
      </c>
      <c r="I7" s="226">
        <v>9</v>
      </c>
      <c r="J7" s="226">
        <v>10</v>
      </c>
      <c r="K7" s="25" t="s">
        <v>14</v>
      </c>
    </row>
    <row r="8" spans="1:11" s="68" customFormat="1" ht="84.6" customHeight="1" x14ac:dyDescent="0.3">
      <c r="A8" s="65">
        <v>1</v>
      </c>
      <c r="B8" s="245" t="s">
        <v>1616</v>
      </c>
      <c r="C8" s="1" t="s">
        <v>1617</v>
      </c>
      <c r="D8" s="1" t="s">
        <v>1618</v>
      </c>
      <c r="E8" s="1" t="s">
        <v>695</v>
      </c>
      <c r="F8" s="103">
        <f>G8+H8+I8</f>
        <v>14025.9</v>
      </c>
      <c r="G8" s="103">
        <v>0</v>
      </c>
      <c r="H8" s="100">
        <v>0</v>
      </c>
      <c r="I8" s="100">
        <v>14025.9</v>
      </c>
      <c r="J8" s="100">
        <v>0</v>
      </c>
      <c r="K8" s="67" t="s">
        <v>1619</v>
      </c>
    </row>
    <row r="9" spans="1:11" s="68" customFormat="1" ht="118.8" customHeight="1" x14ac:dyDescent="0.3">
      <c r="A9" s="65">
        <v>2</v>
      </c>
      <c r="B9" s="246"/>
      <c r="C9" s="67" t="s">
        <v>1620</v>
      </c>
      <c r="D9" s="65" t="s">
        <v>1621</v>
      </c>
      <c r="E9" s="53" t="s">
        <v>19</v>
      </c>
      <c r="F9" s="103">
        <f>G9+H9+I9</f>
        <v>4656.6000000000004</v>
      </c>
      <c r="G9" s="103">
        <v>0</v>
      </c>
      <c r="H9" s="100">
        <v>0</v>
      </c>
      <c r="I9" s="100">
        <v>4656.6000000000004</v>
      </c>
      <c r="J9" s="100">
        <v>0</v>
      </c>
      <c r="K9" s="67" t="s">
        <v>1619</v>
      </c>
    </row>
    <row r="10" spans="1:11" s="68" customFormat="1" ht="24" customHeight="1" x14ac:dyDescent="0.3">
      <c r="A10" s="241" t="s">
        <v>1622</v>
      </c>
      <c r="B10" s="241"/>
      <c r="C10" s="241"/>
      <c r="D10" s="69"/>
      <c r="E10" s="69"/>
      <c r="F10" s="192">
        <f t="shared" ref="F10:H10" si="0">SUM(F8:F9)</f>
        <v>18682.5</v>
      </c>
      <c r="G10" s="192">
        <f t="shared" si="0"/>
        <v>0</v>
      </c>
      <c r="H10" s="192">
        <f t="shared" si="0"/>
        <v>0</v>
      </c>
      <c r="I10" s="192">
        <f>SUM(I8:I9)</f>
        <v>18682.5</v>
      </c>
      <c r="J10" s="135">
        <v>0</v>
      </c>
      <c r="K10" s="69"/>
    </row>
    <row r="11" spans="1:11" s="28" customFormat="1" ht="40.200000000000003" customHeight="1" x14ac:dyDescent="0.3">
      <c r="A11" s="13">
        <v>3</v>
      </c>
      <c r="B11" s="242" t="s">
        <v>132</v>
      </c>
      <c r="C11" s="16" t="s">
        <v>22</v>
      </c>
      <c r="D11" s="16" t="s">
        <v>21</v>
      </c>
      <c r="E11" s="16" t="s">
        <v>18</v>
      </c>
      <c r="F11" s="101">
        <v>231.35</v>
      </c>
      <c r="G11" s="101">
        <v>0</v>
      </c>
      <c r="H11" s="101">
        <v>231.35</v>
      </c>
      <c r="I11" s="101">
        <v>0</v>
      </c>
      <c r="J11" s="101">
        <v>0</v>
      </c>
      <c r="K11" s="16" t="s">
        <v>121</v>
      </c>
    </row>
    <row r="12" spans="1:11" s="28" customFormat="1" ht="29.4" customHeight="1" x14ac:dyDescent="0.3">
      <c r="A12" s="13">
        <v>4</v>
      </c>
      <c r="B12" s="243"/>
      <c r="C12" s="16" t="s">
        <v>26</v>
      </c>
      <c r="D12" s="16" t="s">
        <v>25</v>
      </c>
      <c r="E12" s="16" t="s">
        <v>18</v>
      </c>
      <c r="F12" s="101">
        <v>1018.93</v>
      </c>
      <c r="G12" s="101">
        <v>1018.93</v>
      </c>
      <c r="H12" s="101">
        <v>0</v>
      </c>
      <c r="I12" s="101">
        <v>0</v>
      </c>
      <c r="J12" s="101">
        <v>0</v>
      </c>
      <c r="K12" s="16" t="s">
        <v>120</v>
      </c>
    </row>
    <row r="13" spans="1:11" s="28" customFormat="1" ht="42.6" customHeight="1" x14ac:dyDescent="0.3">
      <c r="A13" s="53">
        <v>5</v>
      </c>
      <c r="B13" s="243"/>
      <c r="C13" s="16" t="s">
        <v>24</v>
      </c>
      <c r="D13" s="16" t="s">
        <v>23</v>
      </c>
      <c r="E13" s="16" t="s">
        <v>18</v>
      </c>
      <c r="F13" s="101">
        <v>266.39999999999998</v>
      </c>
      <c r="G13" s="101">
        <v>0</v>
      </c>
      <c r="H13" s="101">
        <v>266.39999999999998</v>
      </c>
      <c r="I13" s="101">
        <v>0</v>
      </c>
      <c r="J13" s="101">
        <v>0</v>
      </c>
      <c r="K13" s="16" t="s">
        <v>121</v>
      </c>
    </row>
    <row r="14" spans="1:11" s="28" customFormat="1" ht="30" customHeight="1" x14ac:dyDescent="0.3">
      <c r="A14" s="53">
        <v>6</v>
      </c>
      <c r="B14" s="243"/>
      <c r="C14" s="16" t="s">
        <v>30</v>
      </c>
      <c r="D14" s="16" t="s">
        <v>29</v>
      </c>
      <c r="E14" s="16" t="s">
        <v>18</v>
      </c>
      <c r="F14" s="101">
        <v>5099.3999999999996</v>
      </c>
      <c r="G14" s="101">
        <v>5099.3999999999996</v>
      </c>
      <c r="H14" s="101">
        <v>0</v>
      </c>
      <c r="I14" s="101">
        <v>0</v>
      </c>
      <c r="J14" s="101">
        <v>0</v>
      </c>
      <c r="K14" s="16" t="s">
        <v>120</v>
      </c>
    </row>
    <row r="15" spans="1:11" s="28" customFormat="1" ht="34.200000000000003" customHeight="1" x14ac:dyDescent="0.3">
      <c r="A15" s="53">
        <v>7</v>
      </c>
      <c r="B15" s="243"/>
      <c r="C15" s="16" t="s">
        <v>28</v>
      </c>
      <c r="D15" s="16" t="s">
        <v>27</v>
      </c>
      <c r="E15" s="16" t="s">
        <v>18</v>
      </c>
      <c r="F15" s="101">
        <v>119.08</v>
      </c>
      <c r="G15" s="101">
        <v>0</v>
      </c>
      <c r="H15" s="101">
        <v>119.08</v>
      </c>
      <c r="I15" s="101">
        <v>0</v>
      </c>
      <c r="J15" s="101">
        <v>0</v>
      </c>
      <c r="K15" s="16" t="s">
        <v>121</v>
      </c>
    </row>
    <row r="16" spans="1:11" s="28" customFormat="1" ht="31.2" customHeight="1" x14ac:dyDescent="0.3">
      <c r="A16" s="53">
        <v>8</v>
      </c>
      <c r="B16" s="243"/>
      <c r="C16" s="16" t="s">
        <v>32</v>
      </c>
      <c r="D16" s="16" t="s">
        <v>31</v>
      </c>
      <c r="E16" s="16" t="s">
        <v>18</v>
      </c>
      <c r="F16" s="101">
        <v>221.8</v>
      </c>
      <c r="G16" s="101">
        <v>0</v>
      </c>
      <c r="H16" s="101">
        <v>221.8</v>
      </c>
      <c r="I16" s="101">
        <v>0</v>
      </c>
      <c r="J16" s="101">
        <v>0</v>
      </c>
      <c r="K16" s="16" t="s">
        <v>121</v>
      </c>
    </row>
    <row r="17" spans="1:11" s="28" customFormat="1" ht="43.8" customHeight="1" x14ac:dyDescent="0.3">
      <c r="A17" s="53">
        <v>9</v>
      </c>
      <c r="B17" s="243"/>
      <c r="C17" s="16" t="s">
        <v>34</v>
      </c>
      <c r="D17" s="16" t="s">
        <v>33</v>
      </c>
      <c r="E17" s="16" t="s">
        <v>18</v>
      </c>
      <c r="F17" s="101">
        <v>325.67</v>
      </c>
      <c r="G17" s="101">
        <v>325.67</v>
      </c>
      <c r="H17" s="101">
        <v>0</v>
      </c>
      <c r="I17" s="101">
        <v>0</v>
      </c>
      <c r="J17" s="101">
        <v>0</v>
      </c>
      <c r="K17" s="16" t="s">
        <v>122</v>
      </c>
    </row>
    <row r="18" spans="1:11" s="28" customFormat="1" ht="66" x14ac:dyDescent="0.3">
      <c r="A18" s="53">
        <v>10</v>
      </c>
      <c r="B18" s="243"/>
      <c r="C18" s="16" t="s">
        <v>35</v>
      </c>
      <c r="D18" s="16" t="s">
        <v>38</v>
      </c>
      <c r="E18" s="16" t="s">
        <v>19</v>
      </c>
      <c r="F18" s="101">
        <v>998994.25</v>
      </c>
      <c r="G18" s="101">
        <v>493779.25</v>
      </c>
      <c r="H18" s="101">
        <v>449876.88</v>
      </c>
      <c r="I18" s="101">
        <v>55338.13</v>
      </c>
      <c r="J18" s="101">
        <v>0</v>
      </c>
      <c r="K18" s="16" t="s">
        <v>123</v>
      </c>
    </row>
    <row r="19" spans="1:11" s="28" customFormat="1" ht="36" customHeight="1" x14ac:dyDescent="0.3">
      <c r="A19" s="53">
        <v>11</v>
      </c>
      <c r="B19" s="243"/>
      <c r="C19" s="16" t="s">
        <v>36</v>
      </c>
      <c r="D19" s="16" t="s">
        <v>37</v>
      </c>
      <c r="E19" s="16" t="s">
        <v>18</v>
      </c>
      <c r="F19" s="101">
        <v>367.95</v>
      </c>
      <c r="G19" s="101">
        <v>367.95</v>
      </c>
      <c r="H19" s="101">
        <v>0</v>
      </c>
      <c r="I19" s="101">
        <v>0</v>
      </c>
      <c r="J19" s="101">
        <v>0</v>
      </c>
      <c r="K19" s="16" t="s">
        <v>122</v>
      </c>
    </row>
    <row r="20" spans="1:11" s="28" customFormat="1" ht="26.4" x14ac:dyDescent="0.3">
      <c r="A20" s="53">
        <v>12</v>
      </c>
      <c r="B20" s="243"/>
      <c r="C20" s="16" t="s">
        <v>39</v>
      </c>
      <c r="D20" s="16" t="s">
        <v>42</v>
      </c>
      <c r="E20" s="16" t="s">
        <v>19</v>
      </c>
      <c r="F20" s="101">
        <v>52741.82</v>
      </c>
      <c r="G20" s="101">
        <v>52741.82</v>
      </c>
      <c r="H20" s="101">
        <v>0</v>
      </c>
      <c r="I20" s="101">
        <v>0</v>
      </c>
      <c r="J20" s="101">
        <v>0</v>
      </c>
      <c r="K20" s="16" t="s">
        <v>121</v>
      </c>
    </row>
    <row r="21" spans="1:11" s="28" customFormat="1" ht="36.6" customHeight="1" x14ac:dyDescent="0.3">
      <c r="A21" s="53">
        <v>13</v>
      </c>
      <c r="B21" s="243"/>
      <c r="C21" s="16" t="s">
        <v>40</v>
      </c>
      <c r="D21" s="16" t="s">
        <v>41</v>
      </c>
      <c r="E21" s="16" t="s">
        <v>18</v>
      </c>
      <c r="F21" s="101">
        <v>1700</v>
      </c>
      <c r="G21" s="101">
        <v>1000</v>
      </c>
      <c r="H21" s="101">
        <v>700</v>
      </c>
      <c r="I21" s="101">
        <v>0</v>
      </c>
      <c r="J21" s="101">
        <v>0</v>
      </c>
      <c r="K21" s="16" t="s">
        <v>123</v>
      </c>
    </row>
    <row r="22" spans="1:11" s="28" customFormat="1" ht="33" customHeight="1" x14ac:dyDescent="0.3">
      <c r="A22" s="53">
        <v>14</v>
      </c>
      <c r="B22" s="243"/>
      <c r="C22" s="16" t="s">
        <v>43</v>
      </c>
      <c r="D22" s="16" t="s">
        <v>44</v>
      </c>
      <c r="E22" s="16" t="s">
        <v>18</v>
      </c>
      <c r="F22" s="101">
        <v>4390.28</v>
      </c>
      <c r="G22" s="101">
        <v>4390.28</v>
      </c>
      <c r="H22" s="101">
        <v>0</v>
      </c>
      <c r="I22" s="101">
        <v>0</v>
      </c>
      <c r="J22" s="101">
        <v>0</v>
      </c>
      <c r="K22" s="16" t="s">
        <v>123</v>
      </c>
    </row>
    <row r="23" spans="1:11" s="28" customFormat="1" ht="34.200000000000003" customHeight="1" x14ac:dyDescent="0.3">
      <c r="A23" s="53">
        <v>15</v>
      </c>
      <c r="B23" s="243"/>
      <c r="C23" s="16" t="s">
        <v>45</v>
      </c>
      <c r="D23" s="16" t="s">
        <v>46</v>
      </c>
      <c r="E23" s="16" t="s">
        <v>18</v>
      </c>
      <c r="F23" s="101">
        <v>730</v>
      </c>
      <c r="G23" s="101">
        <v>730</v>
      </c>
      <c r="H23" s="101">
        <v>0</v>
      </c>
      <c r="I23" s="101">
        <v>0</v>
      </c>
      <c r="J23" s="101">
        <v>0</v>
      </c>
      <c r="K23" s="16" t="s">
        <v>123</v>
      </c>
    </row>
    <row r="24" spans="1:11" s="28" customFormat="1" ht="52.8" x14ac:dyDescent="0.3">
      <c r="A24" s="53">
        <v>16</v>
      </c>
      <c r="B24" s="243"/>
      <c r="C24" s="16" t="s">
        <v>47</v>
      </c>
      <c r="D24" s="16" t="s">
        <v>48</v>
      </c>
      <c r="E24" s="16" t="s">
        <v>18</v>
      </c>
      <c r="F24" s="101">
        <v>9810.2800000000007</v>
      </c>
      <c r="G24" s="101">
        <v>9810.2800000000007</v>
      </c>
      <c r="H24" s="101">
        <v>0</v>
      </c>
      <c r="I24" s="101">
        <v>0</v>
      </c>
      <c r="J24" s="101">
        <v>0</v>
      </c>
      <c r="K24" s="16" t="s">
        <v>122</v>
      </c>
    </row>
    <row r="25" spans="1:11" s="28" customFormat="1" ht="52.8" x14ac:dyDescent="0.3">
      <c r="A25" s="53">
        <v>17</v>
      </c>
      <c r="B25" s="243"/>
      <c r="C25" s="16" t="s">
        <v>49</v>
      </c>
      <c r="D25" s="16" t="s">
        <v>119</v>
      </c>
      <c r="E25" s="16" t="s">
        <v>19</v>
      </c>
      <c r="F25" s="101">
        <f>G25+H25</f>
        <v>56900.85</v>
      </c>
      <c r="G25" s="101">
        <v>14093.63</v>
      </c>
      <c r="H25" s="101">
        <v>42807.22</v>
      </c>
      <c r="I25" s="101">
        <v>0</v>
      </c>
      <c r="J25" s="101">
        <v>0</v>
      </c>
      <c r="K25" s="16" t="s">
        <v>122</v>
      </c>
    </row>
    <row r="26" spans="1:11" s="28" customFormat="1" ht="52.8" x14ac:dyDescent="0.3">
      <c r="A26" s="53">
        <v>18</v>
      </c>
      <c r="B26" s="243"/>
      <c r="C26" s="16" t="s">
        <v>51</v>
      </c>
      <c r="D26" s="16" t="s">
        <v>52</v>
      </c>
      <c r="E26" s="16" t="s">
        <v>18</v>
      </c>
      <c r="F26" s="101">
        <v>3010</v>
      </c>
      <c r="G26" s="101">
        <v>3010</v>
      </c>
      <c r="H26" s="101">
        <v>0</v>
      </c>
      <c r="I26" s="101">
        <v>0</v>
      </c>
      <c r="J26" s="101">
        <v>0</v>
      </c>
      <c r="K26" s="16" t="s">
        <v>122</v>
      </c>
    </row>
    <row r="27" spans="1:11" s="28" customFormat="1" ht="52.8" x14ac:dyDescent="0.3">
      <c r="A27" s="53">
        <v>19</v>
      </c>
      <c r="B27" s="243"/>
      <c r="C27" s="16" t="s">
        <v>53</v>
      </c>
      <c r="D27" s="16" t="s">
        <v>54</v>
      </c>
      <c r="E27" s="16" t="s">
        <v>18</v>
      </c>
      <c r="F27" s="101">
        <v>3061</v>
      </c>
      <c r="G27" s="101">
        <v>3061</v>
      </c>
      <c r="H27" s="101">
        <v>0</v>
      </c>
      <c r="I27" s="101">
        <v>0</v>
      </c>
      <c r="J27" s="101">
        <v>0</v>
      </c>
      <c r="K27" s="16" t="s">
        <v>122</v>
      </c>
    </row>
    <row r="28" spans="1:11" s="28" customFormat="1" ht="34.200000000000003" customHeight="1" x14ac:dyDescent="0.3">
      <c r="A28" s="53">
        <v>20</v>
      </c>
      <c r="B28" s="243"/>
      <c r="C28" s="16" t="s">
        <v>55</v>
      </c>
      <c r="D28" s="16" t="s">
        <v>56</v>
      </c>
      <c r="E28" s="16" t="s">
        <v>18</v>
      </c>
      <c r="F28" s="101">
        <v>1200</v>
      </c>
      <c r="G28" s="101">
        <v>1200</v>
      </c>
      <c r="H28" s="101">
        <v>0</v>
      </c>
      <c r="I28" s="101">
        <v>0</v>
      </c>
      <c r="J28" s="101">
        <v>0</v>
      </c>
      <c r="K28" s="16" t="s">
        <v>122</v>
      </c>
    </row>
    <row r="29" spans="1:11" s="28" customFormat="1" ht="43.8" customHeight="1" x14ac:dyDescent="0.3">
      <c r="A29" s="53">
        <v>21</v>
      </c>
      <c r="B29" s="243"/>
      <c r="C29" s="16" t="s">
        <v>57</v>
      </c>
      <c r="D29" s="16" t="s">
        <v>58</v>
      </c>
      <c r="E29" s="16" t="s">
        <v>19</v>
      </c>
      <c r="F29" s="101">
        <f>G29+H29</f>
        <v>4000</v>
      </c>
      <c r="G29" s="101">
        <v>3750</v>
      </c>
      <c r="H29" s="101">
        <v>250</v>
      </c>
      <c r="I29" s="101">
        <v>0</v>
      </c>
      <c r="J29" s="101">
        <v>0</v>
      </c>
      <c r="K29" s="16" t="s">
        <v>120</v>
      </c>
    </row>
    <row r="30" spans="1:11" s="28" customFormat="1" ht="26.4" x14ac:dyDescent="0.3">
      <c r="A30" s="53">
        <v>22</v>
      </c>
      <c r="B30" s="243"/>
      <c r="C30" s="16" t="s">
        <v>59</v>
      </c>
      <c r="D30" s="16" t="s">
        <v>60</v>
      </c>
      <c r="E30" s="16" t="s">
        <v>19</v>
      </c>
      <c r="F30" s="101">
        <v>600</v>
      </c>
      <c r="G30" s="101">
        <v>600</v>
      </c>
      <c r="H30" s="101">
        <v>0</v>
      </c>
      <c r="I30" s="101">
        <v>0</v>
      </c>
      <c r="J30" s="101">
        <v>0</v>
      </c>
      <c r="K30" s="16" t="s">
        <v>120</v>
      </c>
    </row>
    <row r="31" spans="1:11" s="28" customFormat="1" ht="32.4" customHeight="1" x14ac:dyDescent="0.3">
      <c r="A31" s="53">
        <v>23</v>
      </c>
      <c r="B31" s="243"/>
      <c r="C31" s="16" t="s">
        <v>61</v>
      </c>
      <c r="D31" s="16" t="s">
        <v>62</v>
      </c>
      <c r="E31" s="16" t="s">
        <v>18</v>
      </c>
      <c r="F31" s="101">
        <v>800</v>
      </c>
      <c r="G31" s="101">
        <v>800</v>
      </c>
      <c r="H31" s="101">
        <v>0</v>
      </c>
      <c r="I31" s="101">
        <v>0</v>
      </c>
      <c r="J31" s="101">
        <v>0</v>
      </c>
      <c r="K31" s="16" t="s">
        <v>120</v>
      </c>
    </row>
    <row r="32" spans="1:11" s="28" customFormat="1" ht="34.799999999999997" customHeight="1" x14ac:dyDescent="0.3">
      <c r="A32" s="53">
        <v>24</v>
      </c>
      <c r="B32" s="243"/>
      <c r="C32" s="16" t="s">
        <v>63</v>
      </c>
      <c r="D32" s="16" t="s">
        <v>64</v>
      </c>
      <c r="E32" s="16" t="s">
        <v>18</v>
      </c>
      <c r="F32" s="101">
        <v>208</v>
      </c>
      <c r="G32" s="101">
        <v>208</v>
      </c>
      <c r="H32" s="101">
        <v>0</v>
      </c>
      <c r="I32" s="101">
        <v>0</v>
      </c>
      <c r="J32" s="101">
        <v>0</v>
      </c>
      <c r="K32" s="16" t="s">
        <v>120</v>
      </c>
    </row>
    <row r="33" spans="1:12" s="28" customFormat="1" ht="31.2" customHeight="1" x14ac:dyDescent="0.3">
      <c r="A33" s="53">
        <v>25</v>
      </c>
      <c r="B33" s="243"/>
      <c r="C33" s="16" t="s">
        <v>65</v>
      </c>
      <c r="D33" s="16" t="s">
        <v>66</v>
      </c>
      <c r="E33" s="16" t="s">
        <v>18</v>
      </c>
      <c r="F33" s="101">
        <v>76.5</v>
      </c>
      <c r="G33" s="101">
        <v>76.5</v>
      </c>
      <c r="H33" s="101">
        <v>0</v>
      </c>
      <c r="I33" s="101">
        <v>0</v>
      </c>
      <c r="J33" s="101">
        <v>0</v>
      </c>
      <c r="K33" s="16" t="s">
        <v>120</v>
      </c>
    </row>
    <row r="34" spans="1:12" s="28" customFormat="1" ht="34.799999999999997" customHeight="1" x14ac:dyDescent="0.3">
      <c r="A34" s="53">
        <v>26</v>
      </c>
      <c r="B34" s="243"/>
      <c r="C34" s="16" t="s">
        <v>67</v>
      </c>
      <c r="D34" s="16" t="s">
        <v>68</v>
      </c>
      <c r="E34" s="16" t="s">
        <v>18</v>
      </c>
      <c r="F34" s="101">
        <v>249</v>
      </c>
      <c r="G34" s="101">
        <v>249</v>
      </c>
      <c r="H34" s="101">
        <v>0</v>
      </c>
      <c r="I34" s="101">
        <v>0</v>
      </c>
      <c r="J34" s="101">
        <v>0</v>
      </c>
      <c r="K34" s="16" t="s">
        <v>120</v>
      </c>
    </row>
    <row r="35" spans="1:12" s="28" customFormat="1" ht="26.4" x14ac:dyDescent="0.3">
      <c r="A35" s="53">
        <v>27</v>
      </c>
      <c r="B35" s="243"/>
      <c r="C35" s="16" t="s">
        <v>69</v>
      </c>
      <c r="D35" s="16" t="s">
        <v>70</v>
      </c>
      <c r="E35" s="16" t="s">
        <v>19</v>
      </c>
      <c r="F35" s="101">
        <v>2243.5100000000002</v>
      </c>
      <c r="G35" s="101">
        <v>2243.5100000000002</v>
      </c>
      <c r="H35" s="101">
        <v>0</v>
      </c>
      <c r="I35" s="101">
        <v>0</v>
      </c>
      <c r="J35" s="101">
        <v>0</v>
      </c>
      <c r="K35" s="16" t="s">
        <v>120</v>
      </c>
    </row>
    <row r="36" spans="1:12" s="28" customFormat="1" ht="39.6" customHeight="1" x14ac:dyDescent="0.3">
      <c r="A36" s="53">
        <v>28</v>
      </c>
      <c r="B36" s="244"/>
      <c r="C36" s="16" t="s">
        <v>71</v>
      </c>
      <c r="D36" s="16" t="s">
        <v>72</v>
      </c>
      <c r="E36" s="16" t="s">
        <v>18</v>
      </c>
      <c r="F36" s="101">
        <f>G36+H36</f>
        <v>7568.4</v>
      </c>
      <c r="G36" s="101">
        <v>2059.6999999999998</v>
      </c>
      <c r="H36" s="101">
        <v>5508.7</v>
      </c>
      <c r="I36" s="101">
        <v>0</v>
      </c>
      <c r="J36" s="101">
        <v>0</v>
      </c>
      <c r="K36" s="16" t="s">
        <v>120</v>
      </c>
    </row>
    <row r="37" spans="1:12" s="32" customFormat="1" ht="25.2" customHeight="1" x14ac:dyDescent="0.3">
      <c r="A37" s="240" t="s">
        <v>133</v>
      </c>
      <c r="B37" s="240"/>
      <c r="C37" s="240"/>
      <c r="D37" s="31"/>
      <c r="E37" s="31"/>
      <c r="F37" s="134">
        <f>SUM(F11:F36)</f>
        <v>1155934.47</v>
      </c>
      <c r="G37" s="134">
        <f t="shared" ref="G37:J37" si="1">SUM(G11:G36)</f>
        <v>600614.92000000004</v>
      </c>
      <c r="H37" s="134">
        <f>SUM(H11:H36)</f>
        <v>499981.43</v>
      </c>
      <c r="I37" s="134">
        <f t="shared" si="1"/>
        <v>55338.13</v>
      </c>
      <c r="J37" s="134">
        <f t="shared" si="1"/>
        <v>0</v>
      </c>
      <c r="K37" s="31"/>
      <c r="L37" s="58"/>
    </row>
    <row r="38" spans="1:12" s="28" customFormat="1" ht="45.6" customHeight="1" x14ac:dyDescent="0.3">
      <c r="A38" s="13">
        <v>29</v>
      </c>
      <c r="B38" s="242" t="s">
        <v>132</v>
      </c>
      <c r="C38" s="16" t="s">
        <v>78</v>
      </c>
      <c r="D38" s="16" t="s">
        <v>21</v>
      </c>
      <c r="E38" s="16" t="s">
        <v>18</v>
      </c>
      <c r="F38" s="101">
        <v>231.35</v>
      </c>
      <c r="G38" s="101">
        <v>0</v>
      </c>
      <c r="H38" s="101">
        <v>0</v>
      </c>
      <c r="I38" s="101">
        <v>231.35</v>
      </c>
      <c r="J38" s="101">
        <v>0</v>
      </c>
      <c r="K38" s="16" t="s">
        <v>124</v>
      </c>
    </row>
    <row r="39" spans="1:12" s="28" customFormat="1" ht="41.4" customHeight="1" x14ac:dyDescent="0.3">
      <c r="A39" s="13">
        <v>30</v>
      </c>
      <c r="B39" s="243"/>
      <c r="C39" s="16" t="s">
        <v>77</v>
      </c>
      <c r="D39" s="16" t="s">
        <v>23</v>
      </c>
      <c r="E39" s="16" t="s">
        <v>18</v>
      </c>
      <c r="F39" s="101">
        <v>266.39999999999998</v>
      </c>
      <c r="G39" s="101">
        <v>0</v>
      </c>
      <c r="H39" s="101">
        <v>0</v>
      </c>
      <c r="I39" s="101">
        <v>266.39999999999998</v>
      </c>
      <c r="J39" s="101">
        <v>0</v>
      </c>
      <c r="K39" s="16" t="s">
        <v>125</v>
      </c>
    </row>
    <row r="40" spans="1:12" s="28" customFormat="1" ht="29.4" customHeight="1" x14ac:dyDescent="0.3">
      <c r="A40" s="53">
        <v>31</v>
      </c>
      <c r="B40" s="243"/>
      <c r="C40" s="16" t="s">
        <v>76</v>
      </c>
      <c r="D40" s="16" t="s">
        <v>27</v>
      </c>
      <c r="E40" s="16" t="s">
        <v>18</v>
      </c>
      <c r="F40" s="101">
        <v>119.08</v>
      </c>
      <c r="G40" s="101">
        <v>0</v>
      </c>
      <c r="H40" s="101">
        <v>0</v>
      </c>
      <c r="I40" s="101">
        <v>119.08</v>
      </c>
      <c r="J40" s="101">
        <v>0</v>
      </c>
      <c r="K40" s="16" t="s">
        <v>124</v>
      </c>
    </row>
    <row r="41" spans="1:12" s="28" customFormat="1" ht="31.8" customHeight="1" x14ac:dyDescent="0.3">
      <c r="A41" s="53">
        <v>32</v>
      </c>
      <c r="B41" s="243"/>
      <c r="C41" s="16" t="s">
        <v>75</v>
      </c>
      <c r="D41" s="16" t="s">
        <v>31</v>
      </c>
      <c r="E41" s="16" t="s">
        <v>18</v>
      </c>
      <c r="F41" s="101">
        <v>221.8</v>
      </c>
      <c r="G41" s="101">
        <v>0</v>
      </c>
      <c r="H41" s="101">
        <v>0</v>
      </c>
      <c r="I41" s="101">
        <v>221.8</v>
      </c>
      <c r="J41" s="101">
        <v>0</v>
      </c>
      <c r="K41" s="16" t="s">
        <v>125</v>
      </c>
    </row>
    <row r="42" spans="1:12" s="28" customFormat="1" ht="42" customHeight="1" x14ac:dyDescent="0.3">
      <c r="A42" s="53">
        <v>33</v>
      </c>
      <c r="B42" s="243"/>
      <c r="C42" s="16" t="s">
        <v>74</v>
      </c>
      <c r="D42" s="16" t="s">
        <v>73</v>
      </c>
      <c r="E42" s="16" t="s">
        <v>18</v>
      </c>
      <c r="F42" s="101">
        <v>325.67</v>
      </c>
      <c r="G42" s="101">
        <v>0</v>
      </c>
      <c r="H42" s="101">
        <v>325.67</v>
      </c>
      <c r="I42" s="101">
        <v>0</v>
      </c>
      <c r="J42" s="101">
        <v>0</v>
      </c>
      <c r="K42" s="16" t="s">
        <v>124</v>
      </c>
    </row>
    <row r="43" spans="1:12" s="28" customFormat="1" ht="31.8" customHeight="1" x14ac:dyDescent="0.3">
      <c r="A43" s="53">
        <v>34</v>
      </c>
      <c r="B43" s="243"/>
      <c r="C43" s="16" t="s">
        <v>80</v>
      </c>
      <c r="D43" s="16" t="s">
        <v>37</v>
      </c>
      <c r="E43" s="16" t="s">
        <v>18</v>
      </c>
      <c r="F43" s="101">
        <v>34.15</v>
      </c>
      <c r="G43" s="101">
        <v>0</v>
      </c>
      <c r="H43" s="101">
        <v>34.15</v>
      </c>
      <c r="I43" s="101">
        <v>0</v>
      </c>
      <c r="J43" s="101">
        <v>0</v>
      </c>
      <c r="K43" s="16" t="s">
        <v>124</v>
      </c>
    </row>
    <row r="44" spans="1:12" s="28" customFormat="1" ht="36" customHeight="1" x14ac:dyDescent="0.3">
      <c r="A44" s="53">
        <v>35</v>
      </c>
      <c r="B44" s="243"/>
      <c r="C44" s="16" t="s">
        <v>79</v>
      </c>
      <c r="D44" s="16" t="s">
        <v>41</v>
      </c>
      <c r="E44" s="16" t="s">
        <v>18</v>
      </c>
      <c r="F44" s="101">
        <f>H44+I44</f>
        <v>1100</v>
      </c>
      <c r="G44" s="101">
        <v>0</v>
      </c>
      <c r="H44" s="101">
        <v>400</v>
      </c>
      <c r="I44" s="101">
        <v>700</v>
      </c>
      <c r="J44" s="101">
        <v>0</v>
      </c>
      <c r="K44" s="16" t="s">
        <v>126</v>
      </c>
    </row>
    <row r="45" spans="1:12" s="28" customFormat="1" ht="36" customHeight="1" x14ac:dyDescent="0.3">
      <c r="A45" s="53">
        <v>36</v>
      </c>
      <c r="B45" s="243"/>
      <c r="C45" s="16" t="s">
        <v>81</v>
      </c>
      <c r="D45" s="16" t="s">
        <v>44</v>
      </c>
      <c r="E45" s="16" t="s">
        <v>18</v>
      </c>
      <c r="F45" s="101">
        <v>4390.28</v>
      </c>
      <c r="G45" s="101">
        <v>0</v>
      </c>
      <c r="H45" s="101">
        <v>4390.28</v>
      </c>
      <c r="I45" s="101">
        <v>0</v>
      </c>
      <c r="J45" s="101">
        <v>0</v>
      </c>
      <c r="K45" s="16" t="s">
        <v>127</v>
      </c>
    </row>
    <row r="46" spans="1:12" s="28" customFormat="1" ht="33.6" customHeight="1" x14ac:dyDescent="0.3">
      <c r="A46" s="53">
        <v>37</v>
      </c>
      <c r="B46" s="243"/>
      <c r="C46" s="16" t="s">
        <v>82</v>
      </c>
      <c r="D46" s="16" t="s">
        <v>46</v>
      </c>
      <c r="E46" s="16" t="s">
        <v>18</v>
      </c>
      <c r="F46" s="101">
        <v>730</v>
      </c>
      <c r="G46" s="101">
        <v>0</v>
      </c>
      <c r="H46" s="101">
        <v>730</v>
      </c>
      <c r="I46" s="101">
        <v>0</v>
      </c>
      <c r="J46" s="101">
        <v>0</v>
      </c>
      <c r="K46" s="16" t="s">
        <v>126</v>
      </c>
    </row>
    <row r="47" spans="1:12" s="28" customFormat="1" ht="52.8" x14ac:dyDescent="0.3">
      <c r="A47" s="53">
        <v>38</v>
      </c>
      <c r="B47" s="243"/>
      <c r="C47" s="16" t="s">
        <v>83</v>
      </c>
      <c r="D47" s="16" t="s">
        <v>48</v>
      </c>
      <c r="E47" s="16" t="s">
        <v>19</v>
      </c>
      <c r="F47" s="101">
        <v>2700</v>
      </c>
      <c r="G47" s="101">
        <v>0</v>
      </c>
      <c r="H47" s="101">
        <v>2700</v>
      </c>
      <c r="I47" s="101">
        <v>0</v>
      </c>
      <c r="J47" s="101">
        <v>0</v>
      </c>
      <c r="K47" s="16" t="s">
        <v>126</v>
      </c>
    </row>
    <row r="48" spans="1:12" s="28" customFormat="1" ht="52.8" x14ac:dyDescent="0.3">
      <c r="A48" s="53">
        <v>39</v>
      </c>
      <c r="B48" s="243"/>
      <c r="C48" s="16" t="s">
        <v>84</v>
      </c>
      <c r="D48" s="16" t="s">
        <v>50</v>
      </c>
      <c r="E48" s="16" t="s">
        <v>19</v>
      </c>
      <c r="F48" s="101">
        <v>7011.23</v>
      </c>
      <c r="G48" s="101">
        <v>0</v>
      </c>
      <c r="H48" s="101">
        <v>7011.23</v>
      </c>
      <c r="I48" s="101">
        <v>0</v>
      </c>
      <c r="J48" s="101">
        <v>0</v>
      </c>
      <c r="K48" s="16" t="s">
        <v>127</v>
      </c>
    </row>
    <row r="49" spans="1:12" s="28" customFormat="1" ht="52.8" x14ac:dyDescent="0.3">
      <c r="A49" s="53">
        <v>40</v>
      </c>
      <c r="B49" s="243"/>
      <c r="C49" s="16" t="s">
        <v>85</v>
      </c>
      <c r="D49" s="16" t="s">
        <v>52</v>
      </c>
      <c r="E49" s="16" t="s">
        <v>19</v>
      </c>
      <c r="F49" s="101">
        <v>1410</v>
      </c>
      <c r="G49" s="101">
        <v>0</v>
      </c>
      <c r="H49" s="101">
        <v>1410</v>
      </c>
      <c r="I49" s="101">
        <v>0</v>
      </c>
      <c r="J49" s="101">
        <v>0</v>
      </c>
      <c r="K49" s="16" t="s">
        <v>127</v>
      </c>
    </row>
    <row r="50" spans="1:12" s="28" customFormat="1" ht="52.8" x14ac:dyDescent="0.3">
      <c r="A50" s="53">
        <v>41</v>
      </c>
      <c r="B50" s="243"/>
      <c r="C50" s="16" t="s">
        <v>86</v>
      </c>
      <c r="D50" s="16" t="s">
        <v>54</v>
      </c>
      <c r="E50" s="16" t="s">
        <v>19</v>
      </c>
      <c r="F50" s="101">
        <v>1000</v>
      </c>
      <c r="G50" s="101">
        <v>0</v>
      </c>
      <c r="H50" s="101">
        <v>1000</v>
      </c>
      <c r="I50" s="101">
        <v>0</v>
      </c>
      <c r="J50" s="101">
        <v>0</v>
      </c>
      <c r="K50" s="16" t="s">
        <v>127</v>
      </c>
    </row>
    <row r="51" spans="1:12" s="28" customFormat="1" ht="31.2" customHeight="1" x14ac:dyDescent="0.3">
      <c r="A51" s="53">
        <v>42</v>
      </c>
      <c r="B51" s="243"/>
      <c r="C51" s="16" t="s">
        <v>87</v>
      </c>
      <c r="D51" s="16" t="s">
        <v>56</v>
      </c>
      <c r="E51" s="16" t="s">
        <v>18</v>
      </c>
      <c r="F51" s="101">
        <v>1000</v>
      </c>
      <c r="G51" s="101">
        <v>0</v>
      </c>
      <c r="H51" s="101">
        <v>1000</v>
      </c>
      <c r="I51" s="101">
        <v>0</v>
      </c>
      <c r="J51" s="101">
        <v>0</v>
      </c>
      <c r="K51" s="16" t="s">
        <v>126</v>
      </c>
    </row>
    <row r="52" spans="1:12" s="28" customFormat="1" ht="28.8" customHeight="1" x14ac:dyDescent="0.3">
      <c r="A52" s="53">
        <v>43</v>
      </c>
      <c r="B52" s="243"/>
      <c r="C52" s="16" t="s">
        <v>89</v>
      </c>
      <c r="D52" s="16" t="s">
        <v>88</v>
      </c>
      <c r="E52" s="16" t="s">
        <v>18</v>
      </c>
      <c r="F52" s="101">
        <v>500</v>
      </c>
      <c r="G52" s="101">
        <v>0</v>
      </c>
      <c r="H52" s="101">
        <v>500</v>
      </c>
      <c r="I52" s="101">
        <v>0</v>
      </c>
      <c r="J52" s="101">
        <v>0</v>
      </c>
      <c r="K52" s="16" t="s">
        <v>126</v>
      </c>
    </row>
    <row r="53" spans="1:12" s="28" customFormat="1" ht="48" customHeight="1" x14ac:dyDescent="0.3">
      <c r="A53" s="53">
        <v>44</v>
      </c>
      <c r="B53" s="243"/>
      <c r="C53" s="16" t="s">
        <v>90</v>
      </c>
      <c r="D53" s="16" t="s">
        <v>58</v>
      </c>
      <c r="E53" s="16" t="s">
        <v>18</v>
      </c>
      <c r="F53" s="101">
        <f>H53+I53</f>
        <v>4000</v>
      </c>
      <c r="G53" s="101">
        <v>0</v>
      </c>
      <c r="H53" s="101">
        <v>3750</v>
      </c>
      <c r="I53" s="101">
        <v>250</v>
      </c>
      <c r="J53" s="101">
        <v>0</v>
      </c>
      <c r="K53" s="16" t="s">
        <v>126</v>
      </c>
    </row>
    <row r="54" spans="1:12" s="28" customFormat="1" ht="30.6" customHeight="1" x14ac:dyDescent="0.3">
      <c r="A54" s="53">
        <v>45</v>
      </c>
      <c r="B54" s="243"/>
      <c r="C54" s="16" t="s">
        <v>91</v>
      </c>
      <c r="D54" s="16" t="s">
        <v>60</v>
      </c>
      <c r="E54" s="16" t="s">
        <v>18</v>
      </c>
      <c r="F54" s="101">
        <v>600</v>
      </c>
      <c r="G54" s="101">
        <v>0</v>
      </c>
      <c r="H54" s="101">
        <v>600</v>
      </c>
      <c r="I54" s="101">
        <v>0</v>
      </c>
      <c r="J54" s="101">
        <v>0</v>
      </c>
      <c r="K54" s="16" t="s">
        <v>126</v>
      </c>
    </row>
    <row r="55" spans="1:12" s="28" customFormat="1" ht="37.200000000000003" customHeight="1" x14ac:dyDescent="0.3">
      <c r="A55" s="53">
        <v>46</v>
      </c>
      <c r="B55" s="243"/>
      <c r="C55" s="16" t="s">
        <v>92</v>
      </c>
      <c r="D55" s="16" t="s">
        <v>62</v>
      </c>
      <c r="E55" s="16" t="s">
        <v>18</v>
      </c>
      <c r="F55" s="101">
        <v>800</v>
      </c>
      <c r="G55" s="101">
        <v>0</v>
      </c>
      <c r="H55" s="101">
        <v>800</v>
      </c>
      <c r="I55" s="101">
        <v>0</v>
      </c>
      <c r="J55" s="101">
        <v>0</v>
      </c>
      <c r="K55" s="16" t="s">
        <v>126</v>
      </c>
    </row>
    <row r="56" spans="1:12" s="28" customFormat="1" ht="37.200000000000003" customHeight="1" x14ac:dyDescent="0.3">
      <c r="A56" s="53">
        <v>47</v>
      </c>
      <c r="B56" s="243"/>
      <c r="C56" s="16" t="s">
        <v>93</v>
      </c>
      <c r="D56" s="16" t="s">
        <v>64</v>
      </c>
      <c r="E56" s="16" t="s">
        <v>18</v>
      </c>
      <c r="F56" s="101">
        <v>209</v>
      </c>
      <c r="G56" s="101">
        <v>0</v>
      </c>
      <c r="H56" s="101">
        <v>209</v>
      </c>
      <c r="I56" s="101">
        <v>0</v>
      </c>
      <c r="J56" s="101">
        <v>0</v>
      </c>
      <c r="K56" s="16" t="s">
        <v>125</v>
      </c>
    </row>
    <row r="57" spans="1:12" s="28" customFormat="1" ht="26.4" x14ac:dyDescent="0.3">
      <c r="A57" s="53">
        <v>48</v>
      </c>
      <c r="B57" s="243"/>
      <c r="C57" s="16" t="s">
        <v>95</v>
      </c>
      <c r="D57" s="16" t="s">
        <v>94</v>
      </c>
      <c r="E57" s="16" t="s">
        <v>19</v>
      </c>
      <c r="F57" s="101">
        <v>47.5</v>
      </c>
      <c r="G57" s="101">
        <v>0</v>
      </c>
      <c r="H57" s="101">
        <v>47.5</v>
      </c>
      <c r="I57" s="101">
        <v>0</v>
      </c>
      <c r="J57" s="101">
        <v>0</v>
      </c>
      <c r="K57" s="16" t="s">
        <v>125</v>
      </c>
    </row>
    <row r="58" spans="1:12" s="28" customFormat="1" ht="28.2" customHeight="1" x14ac:dyDescent="0.3">
      <c r="A58" s="53">
        <v>49</v>
      </c>
      <c r="B58" s="243"/>
      <c r="C58" s="16" t="s">
        <v>96</v>
      </c>
      <c r="D58" s="16" t="s">
        <v>66</v>
      </c>
      <c r="E58" s="16" t="s">
        <v>18</v>
      </c>
      <c r="F58" s="101">
        <v>76.5</v>
      </c>
      <c r="G58" s="101">
        <v>0</v>
      </c>
      <c r="H58" s="101">
        <v>76.5</v>
      </c>
      <c r="I58" s="101">
        <v>0</v>
      </c>
      <c r="J58" s="101">
        <v>0</v>
      </c>
      <c r="K58" s="16" t="s">
        <v>125</v>
      </c>
    </row>
    <row r="59" spans="1:12" s="28" customFormat="1" ht="28.8" customHeight="1" x14ac:dyDescent="0.3">
      <c r="A59" s="53">
        <v>50</v>
      </c>
      <c r="B59" s="243"/>
      <c r="C59" s="16" t="s">
        <v>97</v>
      </c>
      <c r="D59" s="16" t="s">
        <v>68</v>
      </c>
      <c r="E59" s="16" t="s">
        <v>18</v>
      </c>
      <c r="F59" s="101">
        <v>249</v>
      </c>
      <c r="G59" s="101">
        <v>0</v>
      </c>
      <c r="H59" s="101">
        <v>249</v>
      </c>
      <c r="I59" s="101">
        <v>0</v>
      </c>
      <c r="J59" s="101">
        <v>0</v>
      </c>
      <c r="K59" s="16" t="s">
        <v>125</v>
      </c>
    </row>
    <row r="60" spans="1:12" s="28" customFormat="1" ht="32.4" customHeight="1" x14ac:dyDescent="0.3">
      <c r="A60" s="53">
        <v>51</v>
      </c>
      <c r="B60" s="243"/>
      <c r="C60" s="16" t="s">
        <v>98</v>
      </c>
      <c r="D60" s="16" t="s">
        <v>70</v>
      </c>
      <c r="E60" s="16" t="s">
        <v>18</v>
      </c>
      <c r="F60" s="101">
        <v>2243.5100000000002</v>
      </c>
      <c r="G60" s="101">
        <v>0</v>
      </c>
      <c r="H60" s="101">
        <v>2243.5100000000002</v>
      </c>
      <c r="I60" s="101">
        <v>0</v>
      </c>
      <c r="J60" s="101">
        <v>0</v>
      </c>
      <c r="K60" s="16" t="s">
        <v>125</v>
      </c>
    </row>
    <row r="61" spans="1:12" s="28" customFormat="1" ht="32.4" customHeight="1" x14ac:dyDescent="0.3">
      <c r="A61" s="53">
        <v>52</v>
      </c>
      <c r="B61" s="244"/>
      <c r="C61" s="16" t="s">
        <v>99</v>
      </c>
      <c r="D61" s="16" t="s">
        <v>72</v>
      </c>
      <c r="E61" s="16" t="s">
        <v>18</v>
      </c>
      <c r="F61" s="101">
        <f>H61+I61</f>
        <v>6608.7</v>
      </c>
      <c r="G61" s="101">
        <v>0</v>
      </c>
      <c r="H61" s="101">
        <v>1100</v>
      </c>
      <c r="I61" s="101">
        <v>5508.7</v>
      </c>
      <c r="J61" s="101">
        <v>0</v>
      </c>
      <c r="K61" s="16" t="s">
        <v>125</v>
      </c>
    </row>
    <row r="62" spans="1:12" s="32" customFormat="1" ht="28.8" customHeight="1" x14ac:dyDescent="0.3">
      <c r="A62" s="240" t="s">
        <v>134</v>
      </c>
      <c r="B62" s="240"/>
      <c r="C62" s="240"/>
      <c r="D62" s="31"/>
      <c r="E62" s="16"/>
      <c r="F62" s="134">
        <f>SUM(F38:F61)</f>
        <v>35874.17</v>
      </c>
      <c r="G62" s="134">
        <f t="shared" ref="G62:J62" si="2">SUM(G38:G61)</f>
        <v>0</v>
      </c>
      <c r="H62" s="134">
        <f t="shared" si="2"/>
        <v>28576.839999999997</v>
      </c>
      <c r="I62" s="134">
        <f t="shared" si="2"/>
        <v>7297.33</v>
      </c>
      <c r="J62" s="134">
        <f t="shared" si="2"/>
        <v>0</v>
      </c>
      <c r="K62" s="16"/>
      <c r="L62" s="58"/>
    </row>
    <row r="63" spans="1:12" s="28" customFormat="1" ht="42" customHeight="1" x14ac:dyDescent="0.3">
      <c r="A63" s="13">
        <v>53</v>
      </c>
      <c r="B63" s="242" t="s">
        <v>132</v>
      </c>
      <c r="C63" s="16" t="s">
        <v>118</v>
      </c>
      <c r="D63" s="16" t="s">
        <v>73</v>
      </c>
      <c r="E63" s="16" t="s">
        <v>18</v>
      </c>
      <c r="F63" s="101">
        <v>325.67</v>
      </c>
      <c r="G63" s="101">
        <v>0</v>
      </c>
      <c r="H63" s="101">
        <v>0</v>
      </c>
      <c r="I63" s="101">
        <v>325.67</v>
      </c>
      <c r="J63" s="101">
        <v>0</v>
      </c>
      <c r="K63" s="16" t="s">
        <v>128</v>
      </c>
    </row>
    <row r="64" spans="1:12" s="28" customFormat="1" ht="33.6" customHeight="1" x14ac:dyDescent="0.3">
      <c r="A64" s="13">
        <v>54</v>
      </c>
      <c r="B64" s="243"/>
      <c r="C64" s="16" t="s">
        <v>117</v>
      </c>
      <c r="D64" s="16" t="s">
        <v>41</v>
      </c>
      <c r="E64" s="16" t="s">
        <v>18</v>
      </c>
      <c r="F64" s="101">
        <v>400</v>
      </c>
      <c r="G64" s="101">
        <v>0</v>
      </c>
      <c r="H64" s="101">
        <v>0</v>
      </c>
      <c r="I64" s="101">
        <v>400</v>
      </c>
      <c r="J64" s="101">
        <v>0</v>
      </c>
      <c r="K64" s="16" t="s">
        <v>129</v>
      </c>
    </row>
    <row r="65" spans="1:11" s="28" customFormat="1" ht="26.4" customHeight="1" x14ac:dyDescent="0.3">
      <c r="A65" s="53">
        <v>55</v>
      </c>
      <c r="B65" s="243"/>
      <c r="C65" s="16" t="s">
        <v>116</v>
      </c>
      <c r="D65" s="16" t="s">
        <v>44</v>
      </c>
      <c r="E65" s="16" t="s">
        <v>18</v>
      </c>
      <c r="F65" s="101">
        <v>4390.28</v>
      </c>
      <c r="G65" s="101">
        <v>0</v>
      </c>
      <c r="H65" s="101">
        <v>0</v>
      </c>
      <c r="I65" s="101">
        <v>4390.28</v>
      </c>
      <c r="J65" s="101">
        <v>0</v>
      </c>
      <c r="K65" s="16" t="s">
        <v>128</v>
      </c>
    </row>
    <row r="66" spans="1:11" s="28" customFormat="1" ht="30" customHeight="1" x14ac:dyDescent="0.3">
      <c r="A66" s="53">
        <v>56</v>
      </c>
      <c r="B66" s="243"/>
      <c r="C66" s="16" t="s">
        <v>115</v>
      </c>
      <c r="D66" s="16" t="s">
        <v>46</v>
      </c>
      <c r="E66" s="16" t="s">
        <v>18</v>
      </c>
      <c r="F66" s="101">
        <v>730</v>
      </c>
      <c r="G66" s="101">
        <v>0</v>
      </c>
      <c r="H66" s="101">
        <v>0</v>
      </c>
      <c r="I66" s="101">
        <v>730</v>
      </c>
      <c r="J66" s="101">
        <v>0</v>
      </c>
      <c r="K66" s="16" t="s">
        <v>129</v>
      </c>
    </row>
    <row r="67" spans="1:11" s="28" customFormat="1" ht="52.8" x14ac:dyDescent="0.3">
      <c r="A67" s="53">
        <v>57</v>
      </c>
      <c r="B67" s="243"/>
      <c r="C67" s="16" t="s">
        <v>114</v>
      </c>
      <c r="D67" s="16" t="s">
        <v>48</v>
      </c>
      <c r="E67" s="16" t="s">
        <v>19</v>
      </c>
      <c r="F67" s="101">
        <v>2700</v>
      </c>
      <c r="G67" s="101">
        <v>0</v>
      </c>
      <c r="H67" s="101">
        <v>0</v>
      </c>
      <c r="I67" s="101">
        <v>2700</v>
      </c>
      <c r="J67" s="101">
        <v>0</v>
      </c>
      <c r="K67" s="16" t="s">
        <v>128</v>
      </c>
    </row>
    <row r="68" spans="1:11" s="28" customFormat="1" ht="52.8" x14ac:dyDescent="0.3">
      <c r="A68" s="53">
        <v>58</v>
      </c>
      <c r="B68" s="243"/>
      <c r="C68" s="16" t="s">
        <v>113</v>
      </c>
      <c r="D68" s="16" t="s">
        <v>119</v>
      </c>
      <c r="E68" s="16" t="s">
        <v>19</v>
      </c>
      <c r="F68" s="101">
        <v>42818.44</v>
      </c>
      <c r="G68" s="101">
        <v>0</v>
      </c>
      <c r="H68" s="101">
        <v>0</v>
      </c>
      <c r="I68" s="101">
        <v>42818.44</v>
      </c>
      <c r="J68" s="101">
        <v>0</v>
      </c>
      <c r="K68" s="16" t="s">
        <v>128</v>
      </c>
    </row>
    <row r="69" spans="1:11" s="28" customFormat="1" ht="52.8" x14ac:dyDescent="0.3">
      <c r="A69" s="53">
        <v>59</v>
      </c>
      <c r="B69" s="243"/>
      <c r="C69" s="16" t="s">
        <v>112</v>
      </c>
      <c r="D69" s="16" t="s">
        <v>52</v>
      </c>
      <c r="E69" s="16" t="s">
        <v>19</v>
      </c>
      <c r="F69" s="101">
        <v>1410</v>
      </c>
      <c r="G69" s="101">
        <v>0</v>
      </c>
      <c r="H69" s="101">
        <v>0</v>
      </c>
      <c r="I69" s="101">
        <v>1410</v>
      </c>
      <c r="J69" s="101">
        <v>0</v>
      </c>
      <c r="K69" s="16" t="s">
        <v>130</v>
      </c>
    </row>
    <row r="70" spans="1:11" s="28" customFormat="1" ht="52.8" x14ac:dyDescent="0.3">
      <c r="A70" s="53">
        <v>60</v>
      </c>
      <c r="B70" s="243"/>
      <c r="C70" s="16" t="s">
        <v>111</v>
      </c>
      <c r="D70" s="16" t="s">
        <v>54</v>
      </c>
      <c r="E70" s="16" t="s">
        <v>19</v>
      </c>
      <c r="F70" s="101">
        <v>6400</v>
      </c>
      <c r="G70" s="101">
        <v>0</v>
      </c>
      <c r="H70" s="101">
        <v>0</v>
      </c>
      <c r="I70" s="101">
        <v>6400</v>
      </c>
      <c r="J70" s="101">
        <v>0</v>
      </c>
      <c r="K70" s="16" t="s">
        <v>131</v>
      </c>
    </row>
    <row r="71" spans="1:11" s="28" customFormat="1" ht="36.6" customHeight="1" x14ac:dyDescent="0.3">
      <c r="A71" s="53">
        <v>61</v>
      </c>
      <c r="B71" s="243"/>
      <c r="C71" s="16" t="s">
        <v>110</v>
      </c>
      <c r="D71" s="16" t="s">
        <v>56</v>
      </c>
      <c r="E71" s="16" t="s">
        <v>18</v>
      </c>
      <c r="F71" s="101">
        <v>1600</v>
      </c>
      <c r="G71" s="101">
        <v>0</v>
      </c>
      <c r="H71" s="101">
        <v>0</v>
      </c>
      <c r="I71" s="101">
        <v>1600</v>
      </c>
      <c r="J71" s="101">
        <v>0</v>
      </c>
      <c r="K71" s="16" t="s">
        <v>130</v>
      </c>
    </row>
    <row r="72" spans="1:11" s="28" customFormat="1" ht="29.4" customHeight="1" x14ac:dyDescent="0.3">
      <c r="A72" s="53">
        <v>62</v>
      </c>
      <c r="B72" s="243"/>
      <c r="C72" s="16" t="s">
        <v>109</v>
      </c>
      <c r="D72" s="16" t="s">
        <v>88</v>
      </c>
      <c r="E72" s="16" t="s">
        <v>18</v>
      </c>
      <c r="F72" s="101">
        <v>500</v>
      </c>
      <c r="G72" s="101">
        <v>0</v>
      </c>
      <c r="H72" s="101">
        <v>0</v>
      </c>
      <c r="I72" s="101">
        <v>500</v>
      </c>
      <c r="J72" s="101">
        <v>0</v>
      </c>
      <c r="K72" s="16" t="s">
        <v>130</v>
      </c>
    </row>
    <row r="73" spans="1:11" s="28" customFormat="1" ht="45.6" customHeight="1" x14ac:dyDescent="0.3">
      <c r="A73" s="53">
        <v>63</v>
      </c>
      <c r="B73" s="243"/>
      <c r="C73" s="16" t="s">
        <v>108</v>
      </c>
      <c r="D73" s="16" t="s">
        <v>58</v>
      </c>
      <c r="E73" s="16" t="s">
        <v>18</v>
      </c>
      <c r="F73" s="101">
        <v>4000</v>
      </c>
      <c r="G73" s="101">
        <v>0</v>
      </c>
      <c r="H73" s="101">
        <v>0</v>
      </c>
      <c r="I73" s="101">
        <v>4000</v>
      </c>
      <c r="J73" s="101">
        <v>0</v>
      </c>
      <c r="K73" s="16" t="s">
        <v>131</v>
      </c>
    </row>
    <row r="74" spans="1:11" s="28" customFormat="1" ht="33" customHeight="1" x14ac:dyDescent="0.3">
      <c r="A74" s="53">
        <v>64</v>
      </c>
      <c r="B74" s="243"/>
      <c r="C74" s="16" t="s">
        <v>107</v>
      </c>
      <c r="D74" s="16" t="s">
        <v>60</v>
      </c>
      <c r="E74" s="16" t="s">
        <v>18</v>
      </c>
      <c r="F74" s="101">
        <v>600</v>
      </c>
      <c r="G74" s="101">
        <v>0</v>
      </c>
      <c r="H74" s="101">
        <v>0</v>
      </c>
      <c r="I74" s="101">
        <v>600</v>
      </c>
      <c r="J74" s="101">
        <v>0</v>
      </c>
      <c r="K74" s="16" t="s">
        <v>131</v>
      </c>
    </row>
    <row r="75" spans="1:11" s="28" customFormat="1" ht="36.6" customHeight="1" x14ac:dyDescent="0.3">
      <c r="A75" s="53">
        <v>65</v>
      </c>
      <c r="B75" s="243"/>
      <c r="C75" s="16" t="s">
        <v>106</v>
      </c>
      <c r="D75" s="16" t="s">
        <v>62</v>
      </c>
      <c r="E75" s="16" t="s">
        <v>18</v>
      </c>
      <c r="F75" s="101">
        <v>800</v>
      </c>
      <c r="G75" s="101">
        <v>0</v>
      </c>
      <c r="H75" s="101">
        <v>0</v>
      </c>
      <c r="I75" s="101">
        <v>800</v>
      </c>
      <c r="J75" s="101">
        <v>0</v>
      </c>
      <c r="K75" s="16" t="s">
        <v>131</v>
      </c>
    </row>
    <row r="76" spans="1:11" s="28" customFormat="1" ht="35.4" customHeight="1" x14ac:dyDescent="0.3">
      <c r="A76" s="53">
        <v>66</v>
      </c>
      <c r="B76" s="243"/>
      <c r="C76" s="16" t="s">
        <v>105</v>
      </c>
      <c r="D76" s="16" t="s">
        <v>64</v>
      </c>
      <c r="E76" s="16" t="s">
        <v>18</v>
      </c>
      <c r="F76" s="101">
        <v>209</v>
      </c>
      <c r="G76" s="101">
        <v>0</v>
      </c>
      <c r="H76" s="101">
        <v>0</v>
      </c>
      <c r="I76" s="101">
        <v>209</v>
      </c>
      <c r="J76" s="101">
        <v>0</v>
      </c>
      <c r="K76" s="16" t="s">
        <v>130</v>
      </c>
    </row>
    <row r="77" spans="1:11" s="28" customFormat="1" ht="36" customHeight="1" x14ac:dyDescent="0.3">
      <c r="A77" s="53">
        <v>67</v>
      </c>
      <c r="B77" s="243"/>
      <c r="C77" s="16" t="s">
        <v>104</v>
      </c>
      <c r="D77" s="16" t="s">
        <v>94</v>
      </c>
      <c r="E77" s="16" t="s">
        <v>18</v>
      </c>
      <c r="F77" s="101">
        <v>48.33</v>
      </c>
      <c r="G77" s="101">
        <v>0</v>
      </c>
      <c r="H77" s="101">
        <v>0</v>
      </c>
      <c r="I77" s="101">
        <v>48.33</v>
      </c>
      <c r="J77" s="101">
        <v>0</v>
      </c>
      <c r="K77" s="16" t="s">
        <v>130</v>
      </c>
    </row>
    <row r="78" spans="1:11" s="28" customFormat="1" ht="33" customHeight="1" x14ac:dyDescent="0.3">
      <c r="A78" s="53">
        <v>68</v>
      </c>
      <c r="B78" s="243"/>
      <c r="C78" s="16" t="s">
        <v>103</v>
      </c>
      <c r="D78" s="16" t="s">
        <v>66</v>
      </c>
      <c r="E78" s="16" t="s">
        <v>18</v>
      </c>
      <c r="F78" s="101">
        <v>76.5</v>
      </c>
      <c r="G78" s="101">
        <v>0</v>
      </c>
      <c r="H78" s="101">
        <v>0</v>
      </c>
      <c r="I78" s="101">
        <v>76.5</v>
      </c>
      <c r="J78" s="101">
        <v>0</v>
      </c>
      <c r="K78" s="16" t="s">
        <v>130</v>
      </c>
    </row>
    <row r="79" spans="1:11" s="28" customFormat="1" ht="31.8" customHeight="1" x14ac:dyDescent="0.3">
      <c r="A79" s="53">
        <v>69</v>
      </c>
      <c r="B79" s="243"/>
      <c r="C79" s="16" t="s">
        <v>102</v>
      </c>
      <c r="D79" s="16" t="s">
        <v>68</v>
      </c>
      <c r="E79" s="16" t="s">
        <v>18</v>
      </c>
      <c r="F79" s="101">
        <v>249</v>
      </c>
      <c r="G79" s="101">
        <v>0</v>
      </c>
      <c r="H79" s="101">
        <v>0</v>
      </c>
      <c r="I79" s="101">
        <v>249</v>
      </c>
      <c r="J79" s="101">
        <v>0</v>
      </c>
      <c r="K79" s="16" t="s">
        <v>130</v>
      </c>
    </row>
    <row r="80" spans="1:11" s="28" customFormat="1" ht="29.4" customHeight="1" x14ac:dyDescent="0.3">
      <c r="A80" s="53">
        <v>70</v>
      </c>
      <c r="B80" s="243"/>
      <c r="C80" s="16" t="s">
        <v>101</v>
      </c>
      <c r="D80" s="16" t="s">
        <v>70</v>
      </c>
      <c r="E80" s="16" t="s">
        <v>18</v>
      </c>
      <c r="F80" s="101">
        <v>2243.5100000000002</v>
      </c>
      <c r="G80" s="101">
        <v>0</v>
      </c>
      <c r="H80" s="101">
        <v>0</v>
      </c>
      <c r="I80" s="101">
        <v>2243.5100000000002</v>
      </c>
      <c r="J80" s="101">
        <v>0</v>
      </c>
      <c r="K80" s="16" t="s">
        <v>130</v>
      </c>
    </row>
    <row r="81" spans="1:12" s="28" customFormat="1" ht="34.799999999999997" customHeight="1" x14ac:dyDescent="0.3">
      <c r="A81" s="53">
        <v>71</v>
      </c>
      <c r="B81" s="244"/>
      <c r="C81" s="16" t="s">
        <v>100</v>
      </c>
      <c r="D81" s="16" t="s">
        <v>72</v>
      </c>
      <c r="E81" s="16" t="s">
        <v>18</v>
      </c>
      <c r="F81" s="101">
        <v>1100</v>
      </c>
      <c r="G81" s="101">
        <v>0</v>
      </c>
      <c r="H81" s="101">
        <v>0</v>
      </c>
      <c r="I81" s="101">
        <v>1100</v>
      </c>
      <c r="J81" s="101">
        <v>0</v>
      </c>
      <c r="K81" s="16" t="s">
        <v>129</v>
      </c>
    </row>
    <row r="82" spans="1:12" s="32" customFormat="1" ht="32.4" customHeight="1" x14ac:dyDescent="0.3">
      <c r="A82" s="240" t="s">
        <v>135</v>
      </c>
      <c r="B82" s="240"/>
      <c r="C82" s="240"/>
      <c r="D82" s="31"/>
      <c r="E82" s="31"/>
      <c r="F82" s="134">
        <f>SUM(F63:F81)</f>
        <v>70600.73</v>
      </c>
      <c r="G82" s="134">
        <f t="shared" ref="G82:I82" si="3">SUM(G63:G81)</f>
        <v>0</v>
      </c>
      <c r="H82" s="134">
        <f t="shared" si="3"/>
        <v>0</v>
      </c>
      <c r="I82" s="134">
        <f t="shared" si="3"/>
        <v>70600.73</v>
      </c>
      <c r="J82" s="134">
        <f t="shared" ref="J82" si="4">SUM(J63:J81)</f>
        <v>0</v>
      </c>
      <c r="K82" s="16"/>
    </row>
    <row r="83" spans="1:12" s="28" customFormat="1" ht="26.4" x14ac:dyDescent="0.3">
      <c r="A83" s="13">
        <v>72</v>
      </c>
      <c r="B83" s="242" t="s">
        <v>141</v>
      </c>
      <c r="C83" s="1" t="s">
        <v>142</v>
      </c>
      <c r="D83" s="1" t="s">
        <v>136</v>
      </c>
      <c r="E83" s="1" t="s">
        <v>19</v>
      </c>
      <c r="F83" s="193">
        <v>710</v>
      </c>
      <c r="G83" s="193">
        <v>710</v>
      </c>
      <c r="H83" s="101">
        <v>0</v>
      </c>
      <c r="I83" s="101">
        <v>0</v>
      </c>
      <c r="J83" s="101">
        <v>0</v>
      </c>
      <c r="K83" s="16" t="s">
        <v>143</v>
      </c>
    </row>
    <row r="84" spans="1:12" s="28" customFormat="1" ht="26.4" x14ac:dyDescent="0.3">
      <c r="A84" s="13">
        <v>73</v>
      </c>
      <c r="B84" s="243"/>
      <c r="C84" s="1" t="s">
        <v>144</v>
      </c>
      <c r="D84" s="1" t="s">
        <v>136</v>
      </c>
      <c r="E84" s="1" t="s">
        <v>19</v>
      </c>
      <c r="F84" s="193">
        <v>1235</v>
      </c>
      <c r="G84" s="193">
        <v>1235</v>
      </c>
      <c r="H84" s="101">
        <v>0</v>
      </c>
      <c r="I84" s="101">
        <v>0</v>
      </c>
      <c r="J84" s="101">
        <v>0</v>
      </c>
      <c r="K84" s="16" t="s">
        <v>143</v>
      </c>
    </row>
    <row r="85" spans="1:12" s="28" customFormat="1" ht="26.4" x14ac:dyDescent="0.3">
      <c r="A85" s="53">
        <v>74</v>
      </c>
      <c r="B85" s="243"/>
      <c r="C85" s="1" t="s">
        <v>145</v>
      </c>
      <c r="D85" s="1" t="s">
        <v>136</v>
      </c>
      <c r="E85" s="1" t="s">
        <v>19</v>
      </c>
      <c r="F85" s="193">
        <v>750</v>
      </c>
      <c r="G85" s="193">
        <v>750</v>
      </c>
      <c r="H85" s="101">
        <v>0</v>
      </c>
      <c r="I85" s="101">
        <v>0</v>
      </c>
      <c r="J85" s="101">
        <v>0</v>
      </c>
      <c r="K85" s="16" t="s">
        <v>143</v>
      </c>
    </row>
    <row r="86" spans="1:12" s="28" customFormat="1" ht="26.4" x14ac:dyDescent="0.3">
      <c r="A86" s="53">
        <v>75</v>
      </c>
      <c r="B86" s="243"/>
      <c r="C86" s="1" t="s">
        <v>146</v>
      </c>
      <c r="D86" s="1" t="s">
        <v>136</v>
      </c>
      <c r="E86" s="1" t="s">
        <v>19</v>
      </c>
      <c r="F86" s="193">
        <v>990</v>
      </c>
      <c r="G86" s="193">
        <v>990</v>
      </c>
      <c r="H86" s="101">
        <v>0</v>
      </c>
      <c r="I86" s="101">
        <v>0</v>
      </c>
      <c r="J86" s="101">
        <v>0</v>
      </c>
      <c r="K86" s="16" t="s">
        <v>143</v>
      </c>
    </row>
    <row r="87" spans="1:12" s="28" customFormat="1" ht="26.4" x14ac:dyDescent="0.3">
      <c r="A87" s="53">
        <v>76</v>
      </c>
      <c r="B87" s="243"/>
      <c r="C87" s="1" t="s">
        <v>147</v>
      </c>
      <c r="D87" s="1" t="s">
        <v>136</v>
      </c>
      <c r="E87" s="1" t="s">
        <v>19</v>
      </c>
      <c r="F87" s="193">
        <v>630</v>
      </c>
      <c r="G87" s="193">
        <v>630</v>
      </c>
      <c r="H87" s="101">
        <v>0</v>
      </c>
      <c r="I87" s="101">
        <v>0</v>
      </c>
      <c r="J87" s="101">
        <v>0</v>
      </c>
      <c r="K87" s="16" t="s">
        <v>143</v>
      </c>
    </row>
    <row r="88" spans="1:12" s="28" customFormat="1" ht="26.4" x14ac:dyDescent="0.3">
      <c r="A88" s="53">
        <v>77</v>
      </c>
      <c r="B88" s="243"/>
      <c r="C88" s="1" t="s">
        <v>148</v>
      </c>
      <c r="D88" s="1" t="s">
        <v>137</v>
      </c>
      <c r="E88" s="1" t="s">
        <v>19</v>
      </c>
      <c r="F88" s="193">
        <f>G88+H88</f>
        <v>998.75</v>
      </c>
      <c r="G88" s="193">
        <v>661.25</v>
      </c>
      <c r="H88" s="101">
        <v>337.5</v>
      </c>
      <c r="I88" s="101">
        <v>0</v>
      </c>
      <c r="J88" s="101">
        <v>0</v>
      </c>
      <c r="K88" s="16" t="s">
        <v>149</v>
      </c>
    </row>
    <row r="89" spans="1:12" s="28" customFormat="1" ht="26.4" x14ac:dyDescent="0.3">
      <c r="A89" s="53">
        <v>78</v>
      </c>
      <c r="B89" s="243"/>
      <c r="C89" s="33" t="s">
        <v>150</v>
      </c>
      <c r="D89" s="1" t="s">
        <v>137</v>
      </c>
      <c r="E89" s="1" t="s">
        <v>19</v>
      </c>
      <c r="F89" s="193">
        <f>G89+H89</f>
        <v>2819.34</v>
      </c>
      <c r="G89" s="109">
        <v>0</v>
      </c>
      <c r="H89" s="101">
        <v>2819.34</v>
      </c>
      <c r="I89" s="101">
        <v>0</v>
      </c>
      <c r="J89" s="101">
        <v>0</v>
      </c>
      <c r="K89" s="13" t="s">
        <v>143</v>
      </c>
    </row>
    <row r="90" spans="1:12" s="28" customFormat="1" ht="39.6" x14ac:dyDescent="0.3">
      <c r="A90" s="53">
        <v>79</v>
      </c>
      <c r="B90" s="243"/>
      <c r="C90" s="33" t="s">
        <v>151</v>
      </c>
      <c r="D90" s="1" t="s">
        <v>140</v>
      </c>
      <c r="E90" s="1" t="s">
        <v>19</v>
      </c>
      <c r="F90" s="109">
        <v>487.3</v>
      </c>
      <c r="G90" s="109">
        <v>0</v>
      </c>
      <c r="H90" s="101">
        <v>487.3</v>
      </c>
      <c r="I90" s="101">
        <v>0</v>
      </c>
      <c r="J90" s="101">
        <v>0</v>
      </c>
      <c r="K90" s="13" t="s">
        <v>143</v>
      </c>
    </row>
    <row r="91" spans="1:12" s="28" customFormat="1" ht="26.4" x14ac:dyDescent="0.3">
      <c r="A91" s="53">
        <v>80</v>
      </c>
      <c r="B91" s="243"/>
      <c r="C91" s="16" t="s">
        <v>152</v>
      </c>
      <c r="D91" s="1" t="s">
        <v>137</v>
      </c>
      <c r="E91" s="1" t="s">
        <v>19</v>
      </c>
      <c r="F91" s="109">
        <v>614.32000000000005</v>
      </c>
      <c r="G91" s="109">
        <v>0</v>
      </c>
      <c r="H91" s="101">
        <v>614.32000000000005</v>
      </c>
      <c r="I91" s="101">
        <v>0</v>
      </c>
      <c r="J91" s="101">
        <v>0</v>
      </c>
      <c r="K91" s="13" t="s">
        <v>143</v>
      </c>
    </row>
    <row r="92" spans="1:12" s="28" customFormat="1" ht="26.4" x14ac:dyDescent="0.3">
      <c r="A92" s="53">
        <v>81</v>
      </c>
      <c r="B92" s="244"/>
      <c r="C92" s="16" t="s">
        <v>153</v>
      </c>
      <c r="D92" s="1" t="s">
        <v>138</v>
      </c>
      <c r="E92" s="1" t="s">
        <v>19</v>
      </c>
      <c r="F92" s="109">
        <v>2714.26</v>
      </c>
      <c r="G92" s="109">
        <v>0</v>
      </c>
      <c r="H92" s="101">
        <v>2714.26</v>
      </c>
      <c r="I92" s="101">
        <v>0</v>
      </c>
      <c r="J92" s="101">
        <v>0</v>
      </c>
      <c r="K92" s="13" t="s">
        <v>143</v>
      </c>
    </row>
    <row r="93" spans="1:12" s="32" customFormat="1" ht="26.4" customHeight="1" x14ac:dyDescent="0.3">
      <c r="A93" s="250" t="s">
        <v>161</v>
      </c>
      <c r="B93" s="251"/>
      <c r="C93" s="252"/>
      <c r="D93" s="34"/>
      <c r="E93" s="34"/>
      <c r="F93" s="134">
        <f>SUM(F83:F92)</f>
        <v>11948.97</v>
      </c>
      <c r="G93" s="134">
        <f t="shared" ref="G93:H93" si="5">SUM(G83:G92)</f>
        <v>4976.25</v>
      </c>
      <c r="H93" s="134">
        <f t="shared" si="5"/>
        <v>6972.72</v>
      </c>
      <c r="I93" s="134">
        <f t="shared" ref="I93" si="6">SUM(I83:I92)</f>
        <v>0</v>
      </c>
      <c r="J93" s="134">
        <f t="shared" ref="J93" si="7">SUM(J83:J92)</f>
        <v>0</v>
      </c>
      <c r="K93" s="31"/>
      <c r="L93" s="58"/>
    </row>
    <row r="94" spans="1:12" s="32" customFormat="1" ht="39.6" x14ac:dyDescent="0.3">
      <c r="A94" s="13">
        <v>82</v>
      </c>
      <c r="B94" s="242" t="s">
        <v>141</v>
      </c>
      <c r="C94" s="33" t="s">
        <v>154</v>
      </c>
      <c r="D94" s="1" t="s">
        <v>155</v>
      </c>
      <c r="E94" s="1" t="s">
        <v>19</v>
      </c>
      <c r="F94" s="109">
        <v>487.3</v>
      </c>
      <c r="G94" s="109">
        <v>0</v>
      </c>
      <c r="H94" s="101">
        <v>0</v>
      </c>
      <c r="I94" s="109">
        <v>487.3</v>
      </c>
      <c r="J94" s="109">
        <v>0</v>
      </c>
      <c r="K94" s="13" t="s">
        <v>156</v>
      </c>
    </row>
    <row r="95" spans="1:12" s="32" customFormat="1" ht="26.4" x14ac:dyDescent="0.3">
      <c r="A95" s="13">
        <v>83</v>
      </c>
      <c r="B95" s="243"/>
      <c r="C95" s="33" t="s">
        <v>157</v>
      </c>
      <c r="D95" s="1" t="s">
        <v>137</v>
      </c>
      <c r="E95" s="1" t="s">
        <v>19</v>
      </c>
      <c r="F95" s="109">
        <v>2831.22</v>
      </c>
      <c r="G95" s="109">
        <v>0</v>
      </c>
      <c r="H95" s="101">
        <v>0</v>
      </c>
      <c r="I95" s="109">
        <v>2831.22</v>
      </c>
      <c r="J95" s="109">
        <v>0</v>
      </c>
      <c r="K95" s="13" t="s">
        <v>156</v>
      </c>
    </row>
    <row r="96" spans="1:12" s="32" customFormat="1" ht="26.4" x14ac:dyDescent="0.3">
      <c r="A96" s="53">
        <v>84</v>
      </c>
      <c r="B96" s="243"/>
      <c r="C96" s="16" t="s">
        <v>158</v>
      </c>
      <c r="D96" s="1" t="s">
        <v>137</v>
      </c>
      <c r="E96" s="1" t="s">
        <v>19</v>
      </c>
      <c r="F96" s="109">
        <v>615.44000000000005</v>
      </c>
      <c r="G96" s="109">
        <v>0</v>
      </c>
      <c r="H96" s="101">
        <v>0</v>
      </c>
      <c r="I96" s="109">
        <v>615.44000000000005</v>
      </c>
      <c r="J96" s="109">
        <v>0</v>
      </c>
      <c r="K96" s="13" t="s">
        <v>156</v>
      </c>
    </row>
    <row r="97" spans="1:12" s="32" customFormat="1" ht="26.4" x14ac:dyDescent="0.3">
      <c r="A97" s="53">
        <v>85</v>
      </c>
      <c r="B97" s="244"/>
      <c r="C97" s="35" t="s">
        <v>159</v>
      </c>
      <c r="D97" s="2" t="s">
        <v>160</v>
      </c>
      <c r="E97" s="2" t="s">
        <v>19</v>
      </c>
      <c r="F97" s="194">
        <v>2714.26</v>
      </c>
      <c r="G97" s="109">
        <v>0</v>
      </c>
      <c r="H97" s="101">
        <v>0</v>
      </c>
      <c r="I97" s="194">
        <v>2714.26</v>
      </c>
      <c r="J97" s="109">
        <v>0</v>
      </c>
      <c r="K97" s="29" t="s">
        <v>156</v>
      </c>
    </row>
    <row r="98" spans="1:12" s="32" customFormat="1" ht="32.25" customHeight="1" x14ac:dyDescent="0.3">
      <c r="A98" s="240" t="s">
        <v>162</v>
      </c>
      <c r="B98" s="240"/>
      <c r="C98" s="240"/>
      <c r="D98" s="31"/>
      <c r="E98" s="31"/>
      <c r="F98" s="134">
        <f>SUM(F94:F97)</f>
        <v>6648.22</v>
      </c>
      <c r="G98" s="134">
        <f t="shared" ref="G98:J98" si="8">SUM(G94:G97)</f>
        <v>0</v>
      </c>
      <c r="H98" s="134">
        <f t="shared" si="8"/>
        <v>0</v>
      </c>
      <c r="I98" s="134">
        <f t="shared" si="8"/>
        <v>6648.22</v>
      </c>
      <c r="J98" s="134">
        <f t="shared" si="8"/>
        <v>0</v>
      </c>
      <c r="K98" s="31"/>
    </row>
    <row r="99" spans="1:12" s="28" customFormat="1" ht="39" customHeight="1" x14ac:dyDescent="0.3">
      <c r="A99" s="13">
        <v>86</v>
      </c>
      <c r="B99" s="242" t="s">
        <v>163</v>
      </c>
      <c r="C99" s="1" t="s">
        <v>164</v>
      </c>
      <c r="D99" s="1" t="s">
        <v>165</v>
      </c>
      <c r="E99" s="13" t="s">
        <v>18</v>
      </c>
      <c r="F99" s="193">
        <f>G99+H99</f>
        <v>894.31</v>
      </c>
      <c r="G99" s="193">
        <v>764.76</v>
      </c>
      <c r="H99" s="101">
        <v>129.55000000000001</v>
      </c>
      <c r="I99" s="101">
        <v>0</v>
      </c>
      <c r="J99" s="101">
        <v>0</v>
      </c>
      <c r="K99" s="16" t="s">
        <v>166</v>
      </c>
    </row>
    <row r="100" spans="1:12" s="28" customFormat="1" ht="28.8" customHeight="1" x14ac:dyDescent="0.3">
      <c r="A100" s="13">
        <v>87</v>
      </c>
      <c r="B100" s="243"/>
      <c r="C100" s="1" t="s">
        <v>167</v>
      </c>
      <c r="D100" s="1" t="s">
        <v>137</v>
      </c>
      <c r="E100" s="13" t="s">
        <v>19</v>
      </c>
      <c r="F100" s="193">
        <f>G100+H100</f>
        <v>4590</v>
      </c>
      <c r="G100" s="193">
        <v>3660</v>
      </c>
      <c r="H100" s="101">
        <v>930</v>
      </c>
      <c r="I100" s="101">
        <v>0</v>
      </c>
      <c r="J100" s="101">
        <v>0</v>
      </c>
      <c r="K100" s="16" t="s">
        <v>166</v>
      </c>
    </row>
    <row r="101" spans="1:12" s="28" customFormat="1" ht="31.2" customHeight="1" x14ac:dyDescent="0.3">
      <c r="A101" s="53">
        <v>88</v>
      </c>
      <c r="B101" s="243"/>
      <c r="C101" s="1" t="s">
        <v>168</v>
      </c>
      <c r="D101" s="1" t="s">
        <v>165</v>
      </c>
      <c r="E101" s="13" t="s">
        <v>18</v>
      </c>
      <c r="F101" s="109">
        <f>H101+I101</f>
        <v>1491.8999999999999</v>
      </c>
      <c r="G101" s="109">
        <v>0</v>
      </c>
      <c r="H101" s="109">
        <v>1362.35</v>
      </c>
      <c r="I101" s="101">
        <v>129.55000000000001</v>
      </c>
      <c r="J101" s="101">
        <v>0</v>
      </c>
      <c r="K101" s="16" t="s">
        <v>123</v>
      </c>
      <c r="L101" s="30"/>
    </row>
    <row r="102" spans="1:12" s="28" customFormat="1" ht="30" customHeight="1" x14ac:dyDescent="0.3">
      <c r="A102" s="53">
        <v>89</v>
      </c>
      <c r="B102" s="243"/>
      <c r="C102" s="1" t="s">
        <v>169</v>
      </c>
      <c r="D102" s="1" t="s">
        <v>137</v>
      </c>
      <c r="E102" s="13" t="s">
        <v>19</v>
      </c>
      <c r="F102" s="109">
        <f>H102+I102</f>
        <v>10950</v>
      </c>
      <c r="G102" s="109">
        <v>0</v>
      </c>
      <c r="H102" s="109">
        <v>10020</v>
      </c>
      <c r="I102" s="101">
        <v>930</v>
      </c>
      <c r="J102" s="101">
        <v>0</v>
      </c>
      <c r="K102" s="16" t="s">
        <v>123</v>
      </c>
    </row>
    <row r="103" spans="1:12" s="28" customFormat="1" ht="31.2" customHeight="1" x14ac:dyDescent="0.3">
      <c r="A103" s="53">
        <v>90</v>
      </c>
      <c r="B103" s="244"/>
      <c r="C103" s="1" t="s">
        <v>170</v>
      </c>
      <c r="D103" s="13" t="s">
        <v>171</v>
      </c>
      <c r="E103" s="13" t="s">
        <v>19</v>
      </c>
      <c r="F103" s="101">
        <f>H103+I103</f>
        <v>1022.59</v>
      </c>
      <c r="G103" s="101">
        <v>0</v>
      </c>
      <c r="H103" s="101">
        <v>937.37</v>
      </c>
      <c r="I103" s="101">
        <v>85.22</v>
      </c>
      <c r="J103" s="101">
        <v>0</v>
      </c>
      <c r="K103" s="16" t="s">
        <v>123</v>
      </c>
    </row>
    <row r="104" spans="1:12" s="32" customFormat="1" ht="29.4" customHeight="1" x14ac:dyDescent="0.3">
      <c r="A104" s="250" t="s">
        <v>175</v>
      </c>
      <c r="B104" s="251"/>
      <c r="C104" s="252"/>
      <c r="D104" s="34"/>
      <c r="E104" s="34"/>
      <c r="F104" s="134">
        <f>SUM(F99:F103)</f>
        <v>18948.8</v>
      </c>
      <c r="G104" s="134">
        <f t="shared" ref="G104:J104" si="9">SUM(G99:G103)</f>
        <v>4424.76</v>
      </c>
      <c r="H104" s="134">
        <f t="shared" si="9"/>
        <v>13379.27</v>
      </c>
      <c r="I104" s="134">
        <f t="shared" si="9"/>
        <v>1144.77</v>
      </c>
      <c r="J104" s="134">
        <f t="shared" si="9"/>
        <v>0</v>
      </c>
      <c r="K104" s="31"/>
      <c r="L104" s="58"/>
    </row>
    <row r="105" spans="1:12" s="28" customFormat="1" ht="30.6" customHeight="1" x14ac:dyDescent="0.3">
      <c r="A105" s="13">
        <v>91</v>
      </c>
      <c r="B105" s="242" t="s">
        <v>163</v>
      </c>
      <c r="C105" s="16" t="s">
        <v>172</v>
      </c>
      <c r="D105" s="13" t="s">
        <v>171</v>
      </c>
      <c r="E105" s="13" t="s">
        <v>19</v>
      </c>
      <c r="F105" s="101">
        <f>I105</f>
        <v>937.37</v>
      </c>
      <c r="G105" s="101">
        <v>0</v>
      </c>
      <c r="H105" s="101">
        <v>0</v>
      </c>
      <c r="I105" s="101">
        <v>937.37</v>
      </c>
      <c r="J105" s="101">
        <v>0</v>
      </c>
      <c r="K105" s="16" t="s">
        <v>127</v>
      </c>
    </row>
    <row r="106" spans="1:12" s="28" customFormat="1" ht="32.25" customHeight="1" x14ac:dyDescent="0.3">
      <c r="A106" s="13">
        <v>92</v>
      </c>
      <c r="B106" s="243"/>
      <c r="C106" s="16" t="s">
        <v>173</v>
      </c>
      <c r="D106" s="1" t="s">
        <v>137</v>
      </c>
      <c r="E106" s="13" t="s">
        <v>19</v>
      </c>
      <c r="F106" s="101">
        <f>I106</f>
        <v>10050</v>
      </c>
      <c r="G106" s="101">
        <v>0</v>
      </c>
      <c r="H106" s="101">
        <v>0</v>
      </c>
      <c r="I106" s="101">
        <v>10050</v>
      </c>
      <c r="J106" s="101">
        <v>0</v>
      </c>
      <c r="K106" s="16" t="s">
        <v>127</v>
      </c>
    </row>
    <row r="107" spans="1:12" s="28" customFormat="1" ht="31.8" customHeight="1" x14ac:dyDescent="0.3">
      <c r="A107" s="13">
        <v>93</v>
      </c>
      <c r="B107" s="244"/>
      <c r="C107" s="16" t="s">
        <v>174</v>
      </c>
      <c r="D107" s="1" t="s">
        <v>165</v>
      </c>
      <c r="E107" s="13" t="s">
        <v>19</v>
      </c>
      <c r="F107" s="101">
        <f>I107</f>
        <v>1366.53</v>
      </c>
      <c r="G107" s="101">
        <v>0</v>
      </c>
      <c r="H107" s="101">
        <v>0</v>
      </c>
      <c r="I107" s="101">
        <v>1366.53</v>
      </c>
      <c r="J107" s="101">
        <v>0</v>
      </c>
      <c r="K107" s="16" t="s">
        <v>127</v>
      </c>
    </row>
    <row r="108" spans="1:12" s="32" customFormat="1" ht="30" customHeight="1" x14ac:dyDescent="0.3">
      <c r="A108" s="240" t="s">
        <v>176</v>
      </c>
      <c r="B108" s="240"/>
      <c r="C108" s="240"/>
      <c r="D108" s="31"/>
      <c r="E108" s="31"/>
      <c r="F108" s="134">
        <f>SUM(F105:F107)</f>
        <v>12353.900000000001</v>
      </c>
      <c r="G108" s="134">
        <f t="shared" ref="G108:J108" si="10">SUM(G105:G107)</f>
        <v>0</v>
      </c>
      <c r="H108" s="134">
        <f t="shared" si="10"/>
        <v>0</v>
      </c>
      <c r="I108" s="134">
        <f t="shared" si="10"/>
        <v>12353.900000000001</v>
      </c>
      <c r="J108" s="134">
        <f t="shared" si="10"/>
        <v>0</v>
      </c>
      <c r="K108" s="31"/>
    </row>
    <row r="109" spans="1:12" s="28" customFormat="1" ht="25.5" customHeight="1" x14ac:dyDescent="0.3">
      <c r="A109" s="13">
        <v>94</v>
      </c>
      <c r="B109" s="247" t="s">
        <v>177</v>
      </c>
      <c r="C109" s="17" t="s">
        <v>178</v>
      </c>
      <c r="D109" s="36" t="s">
        <v>137</v>
      </c>
      <c r="E109" s="28" t="s">
        <v>19</v>
      </c>
      <c r="F109" s="195">
        <v>1472.21</v>
      </c>
      <c r="G109" s="195">
        <v>1472.21</v>
      </c>
      <c r="H109" s="227">
        <v>0</v>
      </c>
      <c r="I109" s="228">
        <v>0</v>
      </c>
      <c r="J109" s="229">
        <v>0</v>
      </c>
      <c r="K109" s="37" t="s">
        <v>143</v>
      </c>
    </row>
    <row r="110" spans="1:12" s="28" customFormat="1" ht="32.25" customHeight="1" x14ac:dyDescent="0.3">
      <c r="A110" s="13">
        <v>95</v>
      </c>
      <c r="B110" s="248"/>
      <c r="C110" s="17" t="s">
        <v>179</v>
      </c>
      <c r="D110" s="38" t="s">
        <v>180</v>
      </c>
      <c r="E110" s="13" t="s">
        <v>19</v>
      </c>
      <c r="F110" s="195">
        <v>742.74</v>
      </c>
      <c r="G110" s="195">
        <v>742.74</v>
      </c>
      <c r="H110" s="227">
        <v>0</v>
      </c>
      <c r="I110" s="228">
        <v>0</v>
      </c>
      <c r="J110" s="229">
        <v>0</v>
      </c>
      <c r="K110" s="37" t="s">
        <v>143</v>
      </c>
    </row>
    <row r="111" spans="1:12" s="28" customFormat="1" ht="29.4" customHeight="1" x14ac:dyDescent="0.3">
      <c r="A111" s="53">
        <v>96</v>
      </c>
      <c r="B111" s="248"/>
      <c r="C111" s="17" t="s">
        <v>181</v>
      </c>
      <c r="D111" s="38" t="s">
        <v>182</v>
      </c>
      <c r="E111" s="13" t="s">
        <v>18</v>
      </c>
      <c r="F111" s="195">
        <v>112</v>
      </c>
      <c r="G111" s="195">
        <v>112</v>
      </c>
      <c r="H111" s="227">
        <v>0</v>
      </c>
      <c r="I111" s="228">
        <v>0</v>
      </c>
      <c r="J111" s="229">
        <v>0</v>
      </c>
      <c r="K111" s="37" t="s">
        <v>143</v>
      </c>
    </row>
    <row r="112" spans="1:12" s="28" customFormat="1" ht="42" customHeight="1" x14ac:dyDescent="0.3">
      <c r="A112" s="53">
        <v>97</v>
      </c>
      <c r="B112" s="248"/>
      <c r="C112" s="17" t="s">
        <v>183</v>
      </c>
      <c r="D112" s="38" t="s">
        <v>184</v>
      </c>
      <c r="E112" s="13" t="s">
        <v>18</v>
      </c>
      <c r="F112" s="195">
        <v>972</v>
      </c>
      <c r="G112" s="195">
        <v>972</v>
      </c>
      <c r="H112" s="227">
        <v>0</v>
      </c>
      <c r="I112" s="228">
        <v>0</v>
      </c>
      <c r="J112" s="229">
        <v>0</v>
      </c>
      <c r="K112" s="37" t="s">
        <v>185</v>
      </c>
    </row>
    <row r="113" spans="1:12" s="28" customFormat="1" ht="24.6" customHeight="1" x14ac:dyDescent="0.3">
      <c r="A113" s="53">
        <v>98</v>
      </c>
      <c r="B113" s="248"/>
      <c r="C113" s="17" t="s">
        <v>186</v>
      </c>
      <c r="D113" s="38" t="s">
        <v>187</v>
      </c>
      <c r="E113" s="13" t="s">
        <v>18</v>
      </c>
      <c r="F113" s="195">
        <v>400</v>
      </c>
      <c r="G113" s="195">
        <v>400</v>
      </c>
      <c r="H113" s="227">
        <v>0</v>
      </c>
      <c r="I113" s="228">
        <v>0</v>
      </c>
      <c r="J113" s="229">
        <v>0</v>
      </c>
      <c r="K113" s="37" t="s">
        <v>185</v>
      </c>
    </row>
    <row r="114" spans="1:12" s="28" customFormat="1" ht="29.25" customHeight="1" x14ac:dyDescent="0.3">
      <c r="A114" s="53">
        <v>99</v>
      </c>
      <c r="B114" s="248"/>
      <c r="C114" s="40" t="s">
        <v>188</v>
      </c>
      <c r="D114" s="41" t="s">
        <v>189</v>
      </c>
      <c r="E114" s="13" t="s">
        <v>19</v>
      </c>
      <c r="F114" s="196">
        <v>1939.05</v>
      </c>
      <c r="G114" s="196">
        <v>0</v>
      </c>
      <c r="H114" s="196">
        <v>1939.05</v>
      </c>
      <c r="I114" s="228">
        <v>0</v>
      </c>
      <c r="J114" s="229">
        <v>0</v>
      </c>
      <c r="K114" s="16" t="s">
        <v>190</v>
      </c>
    </row>
    <row r="115" spans="1:12" s="28" customFormat="1" ht="24" customHeight="1" x14ac:dyDescent="0.3">
      <c r="A115" s="53">
        <v>100</v>
      </c>
      <c r="B115" s="248"/>
      <c r="C115" s="40" t="s">
        <v>191</v>
      </c>
      <c r="D115" s="41" t="s">
        <v>192</v>
      </c>
      <c r="E115" s="13" t="s">
        <v>19</v>
      </c>
      <c r="F115" s="196">
        <v>1000</v>
      </c>
      <c r="G115" s="196">
        <v>0</v>
      </c>
      <c r="H115" s="196">
        <v>1000</v>
      </c>
      <c r="I115" s="228">
        <v>0</v>
      </c>
      <c r="J115" s="229">
        <v>0</v>
      </c>
      <c r="K115" s="16" t="s">
        <v>190</v>
      </c>
    </row>
    <row r="116" spans="1:12" s="28" customFormat="1" ht="21" customHeight="1" x14ac:dyDescent="0.3">
      <c r="A116" s="53">
        <v>101</v>
      </c>
      <c r="B116" s="249"/>
      <c r="C116" s="40" t="s">
        <v>193</v>
      </c>
      <c r="D116" s="41" t="s">
        <v>194</v>
      </c>
      <c r="E116" s="13" t="s">
        <v>19</v>
      </c>
      <c r="F116" s="196">
        <v>4036.28</v>
      </c>
      <c r="G116" s="196">
        <v>0</v>
      </c>
      <c r="H116" s="196">
        <v>4036.28</v>
      </c>
      <c r="I116" s="228">
        <v>0</v>
      </c>
      <c r="J116" s="229">
        <v>0</v>
      </c>
      <c r="K116" s="16" t="s">
        <v>190</v>
      </c>
    </row>
    <row r="117" spans="1:12" s="32" customFormat="1" ht="30.6" customHeight="1" x14ac:dyDescent="0.3">
      <c r="A117" s="250" t="s">
        <v>209</v>
      </c>
      <c r="B117" s="251"/>
      <c r="C117" s="252"/>
      <c r="D117" s="34"/>
      <c r="E117" s="34"/>
      <c r="F117" s="134">
        <f>SUM(F109:F116)</f>
        <v>10674.28</v>
      </c>
      <c r="G117" s="134">
        <f t="shared" ref="G117:H117" si="11">SUM(G109:G116)</f>
        <v>3698.95</v>
      </c>
      <c r="H117" s="134">
        <f t="shared" si="11"/>
        <v>6975.33</v>
      </c>
      <c r="I117" s="134">
        <f t="shared" ref="I117:J117" si="12">SUM(I109:I116)</f>
        <v>0</v>
      </c>
      <c r="J117" s="134">
        <f t="shared" si="12"/>
        <v>0</v>
      </c>
      <c r="K117" s="31"/>
      <c r="L117" s="58"/>
    </row>
    <row r="118" spans="1:12" s="28" customFormat="1" ht="42.6" customHeight="1" x14ac:dyDescent="0.3">
      <c r="A118" s="13">
        <v>102</v>
      </c>
      <c r="B118" s="247" t="s">
        <v>177</v>
      </c>
      <c r="C118" s="40" t="s">
        <v>195</v>
      </c>
      <c r="D118" s="41" t="s">
        <v>184</v>
      </c>
      <c r="E118" s="13" t="s">
        <v>18</v>
      </c>
      <c r="F118" s="196">
        <v>2751.62</v>
      </c>
      <c r="G118" s="196">
        <v>0</v>
      </c>
      <c r="H118" s="196">
        <v>2751.62</v>
      </c>
      <c r="I118" s="196">
        <v>0</v>
      </c>
      <c r="J118" s="196">
        <v>0</v>
      </c>
      <c r="K118" s="16" t="s">
        <v>196</v>
      </c>
    </row>
    <row r="119" spans="1:12" s="28" customFormat="1" ht="21.75" customHeight="1" x14ac:dyDescent="0.3">
      <c r="A119" s="13">
        <v>103</v>
      </c>
      <c r="B119" s="248"/>
      <c r="C119" s="40" t="s">
        <v>197</v>
      </c>
      <c r="D119" s="41" t="s">
        <v>198</v>
      </c>
      <c r="E119" s="13" t="s">
        <v>19</v>
      </c>
      <c r="F119" s="196">
        <v>2271.69</v>
      </c>
      <c r="G119" s="196">
        <v>0</v>
      </c>
      <c r="H119" s="196">
        <v>2271.69</v>
      </c>
      <c r="I119" s="196">
        <v>0</v>
      </c>
      <c r="J119" s="196">
        <v>0</v>
      </c>
      <c r="K119" s="16" t="s">
        <v>196</v>
      </c>
    </row>
    <row r="120" spans="1:12" s="28" customFormat="1" ht="28.5" customHeight="1" x14ac:dyDescent="0.3">
      <c r="A120" s="53">
        <v>104</v>
      </c>
      <c r="B120" s="248"/>
      <c r="C120" s="40" t="s">
        <v>199</v>
      </c>
      <c r="D120" s="41" t="s">
        <v>200</v>
      </c>
      <c r="E120" s="13" t="s">
        <v>19</v>
      </c>
      <c r="F120" s="196">
        <v>2000</v>
      </c>
      <c r="G120" s="196">
        <v>0</v>
      </c>
      <c r="H120" s="196">
        <v>0</v>
      </c>
      <c r="I120" s="196">
        <v>2000</v>
      </c>
      <c r="J120" s="196">
        <v>0</v>
      </c>
      <c r="K120" s="16" t="s">
        <v>201</v>
      </c>
    </row>
    <row r="121" spans="1:12" s="28" customFormat="1" ht="30" customHeight="1" x14ac:dyDescent="0.3">
      <c r="A121" s="53">
        <v>105</v>
      </c>
      <c r="B121" s="248"/>
      <c r="C121" s="40" t="s">
        <v>202</v>
      </c>
      <c r="D121" s="41" t="s">
        <v>203</v>
      </c>
      <c r="E121" s="13" t="s">
        <v>19</v>
      </c>
      <c r="F121" s="196">
        <v>1032.3599999999999</v>
      </c>
      <c r="G121" s="196">
        <v>0</v>
      </c>
      <c r="H121" s="196">
        <v>0</v>
      </c>
      <c r="I121" s="196">
        <v>1032.3599999999999</v>
      </c>
      <c r="J121" s="196">
        <v>0</v>
      </c>
      <c r="K121" s="16" t="s">
        <v>201</v>
      </c>
    </row>
    <row r="122" spans="1:12" s="28" customFormat="1" ht="26.4" x14ac:dyDescent="0.3">
      <c r="A122" s="53">
        <v>106</v>
      </c>
      <c r="B122" s="249"/>
      <c r="C122" s="40" t="s">
        <v>204</v>
      </c>
      <c r="D122" s="41" t="s">
        <v>205</v>
      </c>
      <c r="E122" s="13" t="s">
        <v>19</v>
      </c>
      <c r="F122" s="196">
        <v>4339.66</v>
      </c>
      <c r="G122" s="196">
        <v>0</v>
      </c>
      <c r="H122" s="196">
        <v>0</v>
      </c>
      <c r="I122" s="196">
        <v>4339.66</v>
      </c>
      <c r="J122" s="196">
        <v>0</v>
      </c>
      <c r="K122" s="16" t="s">
        <v>201</v>
      </c>
    </row>
    <row r="123" spans="1:12" s="32" customFormat="1" ht="26.4" customHeight="1" x14ac:dyDescent="0.3">
      <c r="A123" s="240" t="s">
        <v>210</v>
      </c>
      <c r="B123" s="240"/>
      <c r="C123" s="240"/>
      <c r="D123" s="31"/>
      <c r="E123" s="31"/>
      <c r="F123" s="134">
        <f>SUM(F118:F122)</f>
        <v>12395.329999999998</v>
      </c>
      <c r="G123" s="134">
        <f t="shared" ref="G123:I123" si="13">SUM(G118:G122)</f>
        <v>0</v>
      </c>
      <c r="H123" s="134">
        <f t="shared" si="13"/>
        <v>5023.3099999999995</v>
      </c>
      <c r="I123" s="134">
        <f t="shared" si="13"/>
        <v>7372.0199999999995</v>
      </c>
      <c r="J123" s="196">
        <v>0</v>
      </c>
      <c r="K123" s="31"/>
      <c r="L123" s="58"/>
    </row>
    <row r="124" spans="1:12" s="28" customFormat="1" ht="41.4" customHeight="1" x14ac:dyDescent="0.3">
      <c r="A124" s="13">
        <v>107</v>
      </c>
      <c r="B124" s="247" t="s">
        <v>177</v>
      </c>
      <c r="C124" s="40" t="s">
        <v>206</v>
      </c>
      <c r="D124" s="41" t="s">
        <v>184</v>
      </c>
      <c r="E124" s="13" t="s">
        <v>18</v>
      </c>
      <c r="F124" s="196">
        <v>2751.61</v>
      </c>
      <c r="G124" s="196">
        <v>0</v>
      </c>
      <c r="H124" s="196">
        <v>0</v>
      </c>
      <c r="I124" s="196">
        <v>2751.61</v>
      </c>
      <c r="J124" s="196">
        <v>0</v>
      </c>
      <c r="K124" s="16" t="s">
        <v>207</v>
      </c>
    </row>
    <row r="125" spans="1:12" s="28" customFormat="1" ht="24.75" customHeight="1" x14ac:dyDescent="0.3">
      <c r="A125" s="13">
        <v>108</v>
      </c>
      <c r="B125" s="249"/>
      <c r="C125" s="40" t="s">
        <v>208</v>
      </c>
      <c r="D125" s="41" t="s">
        <v>198</v>
      </c>
      <c r="E125" s="13" t="s">
        <v>19</v>
      </c>
      <c r="F125" s="196">
        <v>2271.69</v>
      </c>
      <c r="G125" s="196">
        <v>0</v>
      </c>
      <c r="H125" s="196">
        <v>0</v>
      </c>
      <c r="I125" s="196">
        <v>2271.69</v>
      </c>
      <c r="J125" s="196">
        <v>0</v>
      </c>
      <c r="K125" s="16" t="s">
        <v>207</v>
      </c>
    </row>
    <row r="126" spans="1:12" s="32" customFormat="1" ht="33.75" customHeight="1" x14ac:dyDescent="0.3">
      <c r="A126" s="240" t="s">
        <v>211</v>
      </c>
      <c r="B126" s="240"/>
      <c r="C126" s="240"/>
      <c r="D126" s="31"/>
      <c r="E126" s="31"/>
      <c r="F126" s="134">
        <f>SUM(F124:F125)</f>
        <v>5023.3</v>
      </c>
      <c r="G126" s="134">
        <f t="shared" ref="G126:J126" si="14">SUM(G124:G125)</f>
        <v>0</v>
      </c>
      <c r="H126" s="134">
        <f t="shared" si="14"/>
        <v>0</v>
      </c>
      <c r="I126" s="134">
        <f t="shared" si="14"/>
        <v>5023.3</v>
      </c>
      <c r="J126" s="134">
        <f t="shared" si="14"/>
        <v>0</v>
      </c>
      <c r="K126" s="25"/>
    </row>
    <row r="127" spans="1:12" s="28" customFormat="1" ht="30.6" customHeight="1" x14ac:dyDescent="0.3">
      <c r="A127" s="13">
        <v>109</v>
      </c>
      <c r="B127" s="242" t="s">
        <v>629</v>
      </c>
      <c r="C127" s="1" t="s">
        <v>630</v>
      </c>
      <c r="D127" s="1" t="s">
        <v>631</v>
      </c>
      <c r="E127" s="1" t="s">
        <v>19</v>
      </c>
      <c r="F127" s="193">
        <f>G127+H127+I127</f>
        <v>4893.58</v>
      </c>
      <c r="G127" s="193">
        <v>550</v>
      </c>
      <c r="H127" s="101">
        <v>2168.8200000000002</v>
      </c>
      <c r="I127" s="101">
        <v>2174.7600000000002</v>
      </c>
      <c r="J127" s="101">
        <v>0</v>
      </c>
      <c r="K127" s="16" t="s">
        <v>120</v>
      </c>
    </row>
    <row r="128" spans="1:12" s="28" customFormat="1" ht="39.6" customHeight="1" x14ac:dyDescent="0.3">
      <c r="A128" s="13">
        <v>110</v>
      </c>
      <c r="B128" s="243"/>
      <c r="C128" s="1" t="s">
        <v>632</v>
      </c>
      <c r="D128" s="1" t="s">
        <v>276</v>
      </c>
      <c r="E128" s="1" t="s">
        <v>19</v>
      </c>
      <c r="F128" s="193">
        <f>G128+H128+I128</f>
        <v>759.58</v>
      </c>
      <c r="G128" s="193">
        <v>0</v>
      </c>
      <c r="H128" s="101">
        <v>383.92</v>
      </c>
      <c r="I128" s="101">
        <v>375.66</v>
      </c>
      <c r="J128" s="101">
        <v>0</v>
      </c>
      <c r="K128" s="16" t="s">
        <v>122</v>
      </c>
    </row>
    <row r="129" spans="1:12" s="28" customFormat="1" ht="34.200000000000003" customHeight="1" x14ac:dyDescent="0.3">
      <c r="A129" s="53">
        <v>111</v>
      </c>
      <c r="B129" s="243"/>
      <c r="C129" s="1" t="s">
        <v>633</v>
      </c>
      <c r="D129" s="1" t="s">
        <v>634</v>
      </c>
      <c r="E129" s="1" t="s">
        <v>19</v>
      </c>
      <c r="F129" s="193">
        <f>G129+H129+I129</f>
        <v>3123.01</v>
      </c>
      <c r="G129" s="193">
        <v>0</v>
      </c>
      <c r="H129" s="101">
        <v>1560.12</v>
      </c>
      <c r="I129" s="101">
        <v>1562.89</v>
      </c>
      <c r="J129" s="101">
        <v>0</v>
      </c>
      <c r="K129" s="16" t="s">
        <v>122</v>
      </c>
    </row>
    <row r="130" spans="1:12" s="28" customFormat="1" ht="40.200000000000003" customHeight="1" x14ac:dyDescent="0.3">
      <c r="A130" s="53">
        <v>112</v>
      </c>
      <c r="B130" s="244"/>
      <c r="C130" s="1" t="s">
        <v>635</v>
      </c>
      <c r="D130" s="1" t="s">
        <v>636</v>
      </c>
      <c r="E130" s="1" t="s">
        <v>19</v>
      </c>
      <c r="F130" s="193">
        <f>G130+H130+I130</f>
        <v>673.2</v>
      </c>
      <c r="G130" s="193">
        <v>0</v>
      </c>
      <c r="H130" s="101">
        <v>336.6</v>
      </c>
      <c r="I130" s="101">
        <v>336.6</v>
      </c>
      <c r="J130" s="101">
        <v>0</v>
      </c>
      <c r="K130" s="16" t="s">
        <v>120</v>
      </c>
    </row>
    <row r="131" spans="1:12" s="32" customFormat="1" ht="31.8" customHeight="1" x14ac:dyDescent="0.3">
      <c r="A131" s="250" t="s">
        <v>637</v>
      </c>
      <c r="B131" s="251"/>
      <c r="C131" s="252"/>
      <c r="D131" s="34"/>
      <c r="E131" s="34"/>
      <c r="F131" s="134">
        <f>SUM(F127:F130)</f>
        <v>9449.3700000000008</v>
      </c>
      <c r="G131" s="134">
        <f t="shared" ref="G131:I131" si="15">SUM(G127:G130)</f>
        <v>550</v>
      </c>
      <c r="H131" s="134">
        <f t="shared" si="15"/>
        <v>4449.4600000000009</v>
      </c>
      <c r="I131" s="134">
        <f t="shared" si="15"/>
        <v>4449.9100000000008</v>
      </c>
      <c r="J131" s="134">
        <f t="shared" ref="J131" si="16">SUM(J127:J130)</f>
        <v>0</v>
      </c>
      <c r="K131" s="31"/>
      <c r="L131" s="58"/>
    </row>
    <row r="132" spans="1:12" s="28" customFormat="1" ht="26.4" x14ac:dyDescent="0.3">
      <c r="A132" s="13">
        <v>113</v>
      </c>
      <c r="B132" s="242" t="s">
        <v>212</v>
      </c>
      <c r="C132" s="1" t="s">
        <v>213</v>
      </c>
      <c r="D132" s="1" t="s">
        <v>137</v>
      </c>
      <c r="E132" s="1" t="s">
        <v>19</v>
      </c>
      <c r="F132" s="101">
        <f>G132+H132+I132</f>
        <v>3696</v>
      </c>
      <c r="G132" s="101">
        <v>1041</v>
      </c>
      <c r="H132" s="101">
        <v>2655</v>
      </c>
      <c r="I132" s="101">
        <v>0</v>
      </c>
      <c r="J132" s="101">
        <v>0</v>
      </c>
      <c r="K132" s="16" t="s">
        <v>185</v>
      </c>
    </row>
    <row r="133" spans="1:12" s="28" customFormat="1" ht="26.4" x14ac:dyDescent="0.3">
      <c r="A133" s="13">
        <v>114</v>
      </c>
      <c r="B133" s="244"/>
      <c r="C133" s="1" t="s">
        <v>214</v>
      </c>
      <c r="D133" s="1" t="s">
        <v>165</v>
      </c>
      <c r="E133" s="1" t="s">
        <v>19</v>
      </c>
      <c r="F133" s="101">
        <f>G133+H133+I133</f>
        <v>4612.09</v>
      </c>
      <c r="G133" s="101">
        <v>0</v>
      </c>
      <c r="H133" s="101">
        <v>2296.46</v>
      </c>
      <c r="I133" s="101">
        <v>2315.63</v>
      </c>
      <c r="J133" s="101">
        <v>0</v>
      </c>
      <c r="K133" s="16" t="s">
        <v>215</v>
      </c>
    </row>
    <row r="134" spans="1:12" s="32" customFormat="1" ht="28.8" customHeight="1" x14ac:dyDescent="0.3">
      <c r="A134" s="250" t="s">
        <v>218</v>
      </c>
      <c r="B134" s="251"/>
      <c r="C134" s="252"/>
      <c r="D134" s="34"/>
      <c r="E134" s="34"/>
      <c r="F134" s="134">
        <f>SUM(F132:F133)</f>
        <v>8308.09</v>
      </c>
      <c r="G134" s="134">
        <f t="shared" ref="G134:I134" si="17">SUM(G132:G133)</f>
        <v>1041</v>
      </c>
      <c r="H134" s="134">
        <f t="shared" si="17"/>
        <v>4951.46</v>
      </c>
      <c r="I134" s="134">
        <f t="shared" si="17"/>
        <v>2315.63</v>
      </c>
      <c r="J134" s="134">
        <f>SUM(J132:J133)</f>
        <v>0</v>
      </c>
      <c r="K134" s="31"/>
      <c r="L134" s="58"/>
    </row>
    <row r="135" spans="1:12" s="28" customFormat="1" ht="26.4" x14ac:dyDescent="0.3">
      <c r="A135" s="13">
        <v>115</v>
      </c>
      <c r="B135" s="29" t="s">
        <v>212</v>
      </c>
      <c r="C135" s="1" t="s">
        <v>216</v>
      </c>
      <c r="D135" s="1" t="s">
        <v>171</v>
      </c>
      <c r="E135" s="1" t="s">
        <v>19</v>
      </c>
      <c r="F135" s="101">
        <v>501.6</v>
      </c>
      <c r="G135" s="101">
        <v>0</v>
      </c>
      <c r="H135" s="101">
        <v>0</v>
      </c>
      <c r="I135" s="101">
        <v>501.6</v>
      </c>
      <c r="J135" s="101">
        <v>0</v>
      </c>
      <c r="K135" s="16" t="s">
        <v>217</v>
      </c>
    </row>
    <row r="136" spans="1:12" s="32" customFormat="1" ht="30" customHeight="1" x14ac:dyDescent="0.3">
      <c r="A136" s="240" t="s">
        <v>219</v>
      </c>
      <c r="B136" s="240"/>
      <c r="C136" s="240"/>
      <c r="D136" s="31"/>
      <c r="E136" s="31"/>
      <c r="F136" s="134">
        <f>SUM(F135:F135)</f>
        <v>501.6</v>
      </c>
      <c r="G136" s="134">
        <f>SUM(G135:G135)</f>
        <v>0</v>
      </c>
      <c r="H136" s="134">
        <f>SUM(H135:H135)</f>
        <v>0</v>
      </c>
      <c r="I136" s="134">
        <f>SUM(I135:I135)</f>
        <v>501.6</v>
      </c>
      <c r="J136" s="134">
        <f>SUM(J135:J135)</f>
        <v>0</v>
      </c>
      <c r="K136" s="31"/>
    </row>
    <row r="137" spans="1:12" s="28" customFormat="1" ht="26.4" x14ac:dyDescent="0.3">
      <c r="A137" s="13">
        <v>116</v>
      </c>
      <c r="B137" s="242" t="s">
        <v>220</v>
      </c>
      <c r="C137" s="1" t="s">
        <v>221</v>
      </c>
      <c r="D137" s="1" t="s">
        <v>137</v>
      </c>
      <c r="E137" s="1" t="s">
        <v>19</v>
      </c>
      <c r="F137" s="193">
        <f>G137+H137</f>
        <v>2742</v>
      </c>
      <c r="G137" s="193">
        <v>552</v>
      </c>
      <c r="H137" s="101">
        <v>2190</v>
      </c>
      <c r="I137" s="101">
        <v>0</v>
      </c>
      <c r="J137" s="101">
        <v>0</v>
      </c>
      <c r="K137" s="16" t="s">
        <v>222</v>
      </c>
    </row>
    <row r="138" spans="1:12" s="28" customFormat="1" ht="26.4" x14ac:dyDescent="0.3">
      <c r="A138" s="13">
        <v>117</v>
      </c>
      <c r="B138" s="244"/>
      <c r="C138" s="1" t="s">
        <v>223</v>
      </c>
      <c r="D138" s="1" t="s">
        <v>165</v>
      </c>
      <c r="E138" s="1" t="s">
        <v>19</v>
      </c>
      <c r="F138" s="193">
        <f>G138+H138</f>
        <v>3842.09</v>
      </c>
      <c r="G138" s="193">
        <v>0</v>
      </c>
      <c r="H138" s="193">
        <v>3842.09</v>
      </c>
      <c r="I138" s="101">
        <v>0</v>
      </c>
      <c r="J138" s="101">
        <v>0</v>
      </c>
      <c r="K138" s="16" t="s">
        <v>122</v>
      </c>
    </row>
    <row r="139" spans="1:12" s="32" customFormat="1" ht="33" customHeight="1" x14ac:dyDescent="0.3">
      <c r="A139" s="250" t="s">
        <v>226</v>
      </c>
      <c r="B139" s="251"/>
      <c r="C139" s="252"/>
      <c r="D139" s="34"/>
      <c r="E139" s="34"/>
      <c r="F139" s="134">
        <f>SUM(F137:F138)</f>
        <v>6584.09</v>
      </c>
      <c r="G139" s="134">
        <f t="shared" ref="G139:H139" si="18">SUM(G137:G138)</f>
        <v>552</v>
      </c>
      <c r="H139" s="134">
        <f t="shared" si="18"/>
        <v>6032.09</v>
      </c>
      <c r="I139" s="134">
        <f>SUM(I137:I138)</f>
        <v>0</v>
      </c>
      <c r="J139" s="134">
        <f>SUM(J137:J138)</f>
        <v>0</v>
      </c>
      <c r="K139" s="31"/>
      <c r="L139" s="58"/>
    </row>
    <row r="140" spans="1:12" s="28" customFormat="1" ht="26.4" x14ac:dyDescent="0.3">
      <c r="A140" s="13">
        <v>118</v>
      </c>
      <c r="B140" s="242" t="s">
        <v>220</v>
      </c>
      <c r="C140" s="16" t="s">
        <v>224</v>
      </c>
      <c r="D140" s="1" t="s">
        <v>137</v>
      </c>
      <c r="E140" s="1" t="s">
        <v>19</v>
      </c>
      <c r="F140" s="101">
        <v>2505.56</v>
      </c>
      <c r="G140" s="109">
        <v>0</v>
      </c>
      <c r="H140" s="101">
        <v>0</v>
      </c>
      <c r="I140" s="101">
        <v>2505.56</v>
      </c>
      <c r="J140" s="101">
        <v>0</v>
      </c>
      <c r="K140" s="16" t="s">
        <v>126</v>
      </c>
    </row>
    <row r="141" spans="1:12" s="28" customFormat="1" ht="26.4" x14ac:dyDescent="0.3">
      <c r="A141" s="13">
        <v>119</v>
      </c>
      <c r="B141" s="244"/>
      <c r="C141" s="16" t="s">
        <v>225</v>
      </c>
      <c r="D141" s="1" t="s">
        <v>165</v>
      </c>
      <c r="E141" s="1" t="s">
        <v>19</v>
      </c>
      <c r="F141" s="101">
        <v>3987.11</v>
      </c>
      <c r="G141" s="109">
        <v>0</v>
      </c>
      <c r="H141" s="101">
        <v>0</v>
      </c>
      <c r="I141" s="101">
        <v>3987.11</v>
      </c>
      <c r="J141" s="101">
        <v>0</v>
      </c>
      <c r="K141" s="16" t="s">
        <v>126</v>
      </c>
    </row>
    <row r="142" spans="1:12" s="32" customFormat="1" ht="30.75" customHeight="1" x14ac:dyDescent="0.3">
      <c r="A142" s="240" t="s">
        <v>227</v>
      </c>
      <c r="B142" s="240"/>
      <c r="C142" s="240"/>
      <c r="D142" s="31"/>
      <c r="E142" s="31"/>
      <c r="F142" s="134">
        <f>SUM(F140:F141)</f>
        <v>6492.67</v>
      </c>
      <c r="G142" s="134">
        <f>SUM(G140:G141)</f>
        <v>0</v>
      </c>
      <c r="H142" s="134">
        <f>SUM(H140:H141)</f>
        <v>0</v>
      </c>
      <c r="I142" s="134">
        <f>SUM(I140:I141)</f>
        <v>6492.67</v>
      </c>
      <c r="J142" s="134">
        <f>SUM(J140:J141)</f>
        <v>0</v>
      </c>
      <c r="K142" s="31"/>
    </row>
    <row r="143" spans="1:12" s="28" customFormat="1" ht="26.4" x14ac:dyDescent="0.3">
      <c r="A143" s="13">
        <v>120</v>
      </c>
      <c r="B143" s="242" t="s">
        <v>228</v>
      </c>
      <c r="C143" s="1" t="s">
        <v>229</v>
      </c>
      <c r="D143" s="1" t="s">
        <v>137</v>
      </c>
      <c r="E143" s="1" t="s">
        <v>19</v>
      </c>
      <c r="F143" s="193">
        <f>G143+H143</f>
        <v>5634.9699999999993</v>
      </c>
      <c r="G143" s="193">
        <v>2063.9699999999998</v>
      </c>
      <c r="H143" s="101">
        <v>3571</v>
      </c>
      <c r="I143" s="101">
        <v>0</v>
      </c>
      <c r="J143" s="101">
        <v>0</v>
      </c>
      <c r="K143" s="16" t="s">
        <v>143</v>
      </c>
    </row>
    <row r="144" spans="1:12" s="28" customFormat="1" ht="26.4" x14ac:dyDescent="0.3">
      <c r="A144" s="13">
        <v>121</v>
      </c>
      <c r="B144" s="244"/>
      <c r="C144" s="1" t="s">
        <v>230</v>
      </c>
      <c r="D144" s="1" t="s">
        <v>165</v>
      </c>
      <c r="E144" s="1" t="s">
        <v>19</v>
      </c>
      <c r="F144" s="101">
        <v>1203.8800000000001</v>
      </c>
      <c r="G144" s="193">
        <v>0</v>
      </c>
      <c r="H144" s="101">
        <v>1203.8800000000001</v>
      </c>
      <c r="I144" s="101">
        <v>0</v>
      </c>
      <c r="J144" s="101">
        <v>0</v>
      </c>
      <c r="K144" s="16" t="s">
        <v>231</v>
      </c>
    </row>
    <row r="145" spans="1:12" s="32" customFormat="1" ht="31.8" customHeight="1" x14ac:dyDescent="0.3">
      <c r="A145" s="250" t="s">
        <v>235</v>
      </c>
      <c r="B145" s="251"/>
      <c r="C145" s="252"/>
      <c r="D145" s="34"/>
      <c r="E145" s="34"/>
      <c r="F145" s="134">
        <f>SUM(F143:F144)</f>
        <v>6838.8499999999995</v>
      </c>
      <c r="G145" s="134">
        <f t="shared" ref="G145:H145" si="19">SUM(G143:G144)</f>
        <v>2063.9699999999998</v>
      </c>
      <c r="H145" s="134">
        <f t="shared" si="19"/>
        <v>4774.88</v>
      </c>
      <c r="I145" s="134">
        <f>SUM(I143:I144)</f>
        <v>0</v>
      </c>
      <c r="J145" s="134">
        <f>SUM(J143:J144)</f>
        <v>0</v>
      </c>
      <c r="K145" s="31"/>
      <c r="L145" s="58"/>
    </row>
    <row r="146" spans="1:12" s="28" customFormat="1" ht="26.4" x14ac:dyDescent="0.3">
      <c r="A146" s="13">
        <v>122</v>
      </c>
      <c r="B146" s="242" t="s">
        <v>228</v>
      </c>
      <c r="C146" s="1" t="s">
        <v>232</v>
      </c>
      <c r="D146" s="42" t="s">
        <v>137</v>
      </c>
      <c r="E146" s="42" t="s">
        <v>19</v>
      </c>
      <c r="F146" s="101">
        <v>4287</v>
      </c>
      <c r="G146" s="109">
        <v>0</v>
      </c>
      <c r="H146" s="101">
        <v>0</v>
      </c>
      <c r="I146" s="101">
        <v>4287</v>
      </c>
      <c r="J146" s="101">
        <v>0</v>
      </c>
      <c r="K146" s="16" t="s">
        <v>233</v>
      </c>
    </row>
    <row r="147" spans="1:12" s="28" customFormat="1" ht="42" customHeight="1" x14ac:dyDescent="0.3">
      <c r="A147" s="13">
        <v>123</v>
      </c>
      <c r="B147" s="244"/>
      <c r="C147" s="1" t="s">
        <v>234</v>
      </c>
      <c r="D147" s="42" t="s">
        <v>165</v>
      </c>
      <c r="E147" s="42" t="s">
        <v>19</v>
      </c>
      <c r="F147" s="101">
        <v>1203.8800000000001</v>
      </c>
      <c r="G147" s="109">
        <v>0</v>
      </c>
      <c r="H147" s="101">
        <v>0</v>
      </c>
      <c r="I147" s="101">
        <v>1203.8800000000001</v>
      </c>
      <c r="J147" s="101">
        <v>0</v>
      </c>
      <c r="K147" s="16" t="s">
        <v>233</v>
      </c>
    </row>
    <row r="148" spans="1:12" s="32" customFormat="1" ht="31.8" customHeight="1" x14ac:dyDescent="0.3">
      <c r="A148" s="240" t="s">
        <v>236</v>
      </c>
      <c r="B148" s="240"/>
      <c r="C148" s="240"/>
      <c r="D148" s="31"/>
      <c r="E148" s="31"/>
      <c r="F148" s="134">
        <f>SUM(F146:F147)</f>
        <v>5490.88</v>
      </c>
      <c r="G148" s="134">
        <f>SUM(G146:G147)</f>
        <v>0</v>
      </c>
      <c r="H148" s="134">
        <f>SUM(H146:H147)</f>
        <v>0</v>
      </c>
      <c r="I148" s="134">
        <f>SUM(I146:I147)</f>
        <v>5490.88</v>
      </c>
      <c r="J148" s="134">
        <f>SUM(J146:J147)</f>
        <v>0</v>
      </c>
      <c r="K148" s="31"/>
    </row>
    <row r="149" spans="1:12" s="28" customFormat="1" ht="31.2" customHeight="1" x14ac:dyDescent="0.3">
      <c r="A149" s="13">
        <v>124</v>
      </c>
      <c r="B149" s="242" t="s">
        <v>237</v>
      </c>
      <c r="C149" s="1" t="s">
        <v>238</v>
      </c>
      <c r="D149" s="1" t="s">
        <v>239</v>
      </c>
      <c r="E149" s="1" t="s">
        <v>240</v>
      </c>
      <c r="F149" s="193">
        <v>5053.3999999999996</v>
      </c>
      <c r="G149" s="193">
        <v>5053.3999999999996</v>
      </c>
      <c r="H149" s="101">
        <v>0</v>
      </c>
      <c r="I149" s="101">
        <v>0</v>
      </c>
      <c r="J149" s="101">
        <v>0</v>
      </c>
      <c r="K149" s="16" t="s">
        <v>241</v>
      </c>
    </row>
    <row r="150" spans="1:12" s="28" customFormat="1" ht="32.25" customHeight="1" x14ac:dyDescent="0.3">
      <c r="A150" s="13">
        <v>125</v>
      </c>
      <c r="B150" s="243"/>
      <c r="C150" s="1" t="s">
        <v>242</v>
      </c>
      <c r="D150" s="1" t="s">
        <v>243</v>
      </c>
      <c r="E150" s="1" t="s">
        <v>240</v>
      </c>
      <c r="F150" s="193">
        <v>181.08</v>
      </c>
      <c r="G150" s="193">
        <v>181.08</v>
      </c>
      <c r="H150" s="101">
        <v>0</v>
      </c>
      <c r="I150" s="101">
        <v>0</v>
      </c>
      <c r="J150" s="101">
        <v>0</v>
      </c>
      <c r="K150" s="16" t="s">
        <v>241</v>
      </c>
    </row>
    <row r="151" spans="1:12" s="28" customFormat="1" ht="33" customHeight="1" x14ac:dyDescent="0.3">
      <c r="A151" s="13">
        <f t="shared" ref="A151:A156" si="20">A150+1</f>
        <v>126</v>
      </c>
      <c r="B151" s="243"/>
      <c r="C151" s="1" t="s">
        <v>244</v>
      </c>
      <c r="D151" s="1" t="s">
        <v>245</v>
      </c>
      <c r="E151" s="1" t="s">
        <v>240</v>
      </c>
      <c r="F151" s="101">
        <v>8760</v>
      </c>
      <c r="G151" s="193">
        <v>0</v>
      </c>
      <c r="H151" s="101">
        <v>8760</v>
      </c>
      <c r="I151" s="101">
        <v>0</v>
      </c>
      <c r="J151" s="101">
        <v>0</v>
      </c>
      <c r="K151" s="16" t="s">
        <v>246</v>
      </c>
    </row>
    <row r="152" spans="1:12" s="28" customFormat="1" ht="36" customHeight="1" x14ac:dyDescent="0.3">
      <c r="A152" s="13">
        <f t="shared" si="20"/>
        <v>127</v>
      </c>
      <c r="B152" s="243"/>
      <c r="C152" s="1" t="s">
        <v>247</v>
      </c>
      <c r="D152" s="1" t="s">
        <v>248</v>
      </c>
      <c r="E152" s="1" t="s">
        <v>240</v>
      </c>
      <c r="F152" s="101">
        <v>233.08</v>
      </c>
      <c r="G152" s="193">
        <v>0</v>
      </c>
      <c r="H152" s="101">
        <v>233.08</v>
      </c>
      <c r="I152" s="101">
        <v>0</v>
      </c>
      <c r="J152" s="101">
        <v>0</v>
      </c>
      <c r="K152" s="16" t="s">
        <v>246</v>
      </c>
    </row>
    <row r="153" spans="1:12" s="28" customFormat="1" ht="38.4" customHeight="1" x14ac:dyDescent="0.3">
      <c r="A153" s="13">
        <f t="shared" si="20"/>
        <v>128</v>
      </c>
      <c r="B153" s="243"/>
      <c r="C153" s="1" t="s">
        <v>249</v>
      </c>
      <c r="D153" s="1" t="s">
        <v>250</v>
      </c>
      <c r="E153" s="1" t="s">
        <v>240</v>
      </c>
      <c r="F153" s="101">
        <v>1179.17</v>
      </c>
      <c r="G153" s="193">
        <v>0</v>
      </c>
      <c r="H153" s="101">
        <v>1179.17</v>
      </c>
      <c r="I153" s="101">
        <v>0</v>
      </c>
      <c r="J153" s="101">
        <v>0</v>
      </c>
      <c r="K153" s="16" t="s">
        <v>246</v>
      </c>
    </row>
    <row r="154" spans="1:12" s="28" customFormat="1" ht="34.799999999999997" customHeight="1" x14ac:dyDescent="0.3">
      <c r="A154" s="13">
        <f t="shared" si="20"/>
        <v>129</v>
      </c>
      <c r="B154" s="243"/>
      <c r="C154" s="1" t="s">
        <v>251</v>
      </c>
      <c r="D154" s="1" t="s">
        <v>252</v>
      </c>
      <c r="E154" s="1" t="s">
        <v>240</v>
      </c>
      <c r="F154" s="101">
        <v>269.2</v>
      </c>
      <c r="G154" s="193">
        <v>0</v>
      </c>
      <c r="H154" s="101">
        <v>269.2</v>
      </c>
      <c r="I154" s="101">
        <v>0</v>
      </c>
      <c r="J154" s="101">
        <v>0</v>
      </c>
      <c r="K154" s="16" t="s">
        <v>246</v>
      </c>
    </row>
    <row r="155" spans="1:12" s="28" customFormat="1" ht="62.4" customHeight="1" x14ac:dyDescent="0.3">
      <c r="A155" s="13">
        <f t="shared" si="20"/>
        <v>130</v>
      </c>
      <c r="B155" s="243"/>
      <c r="C155" s="1" t="s">
        <v>253</v>
      </c>
      <c r="D155" s="14" t="s">
        <v>254</v>
      </c>
      <c r="E155" s="1" t="s">
        <v>240</v>
      </c>
      <c r="F155" s="101">
        <v>5451.56</v>
      </c>
      <c r="G155" s="193">
        <v>0</v>
      </c>
      <c r="H155" s="101">
        <v>5451.56</v>
      </c>
      <c r="I155" s="101">
        <v>0</v>
      </c>
      <c r="J155" s="101">
        <v>0</v>
      </c>
      <c r="K155" s="16" t="s">
        <v>246</v>
      </c>
    </row>
    <row r="156" spans="1:12" s="28" customFormat="1" ht="29.4" customHeight="1" x14ac:dyDescent="0.3">
      <c r="A156" s="13">
        <f t="shared" si="20"/>
        <v>131</v>
      </c>
      <c r="B156" s="244"/>
      <c r="C156" s="15" t="s">
        <v>255</v>
      </c>
      <c r="D156" s="14" t="s">
        <v>256</v>
      </c>
      <c r="E156" s="1" t="s">
        <v>240</v>
      </c>
      <c r="F156" s="101">
        <v>2005.35</v>
      </c>
      <c r="G156" s="193">
        <v>0</v>
      </c>
      <c r="H156" s="101">
        <v>2005.35</v>
      </c>
      <c r="I156" s="101">
        <v>0</v>
      </c>
      <c r="J156" s="101">
        <v>0</v>
      </c>
      <c r="K156" s="16" t="s">
        <v>246</v>
      </c>
    </row>
    <row r="157" spans="1:12" s="32" customFormat="1" ht="27.6" customHeight="1" x14ac:dyDescent="0.3">
      <c r="A157" s="250" t="s">
        <v>268</v>
      </c>
      <c r="B157" s="251"/>
      <c r="C157" s="252"/>
      <c r="D157" s="34"/>
      <c r="E157" s="34"/>
      <c r="F157" s="134">
        <f>SUM(F149:F156)</f>
        <v>23132.84</v>
      </c>
      <c r="G157" s="134">
        <f t="shared" ref="G157:H157" si="21">SUM(G149:G156)</f>
        <v>5234.4799999999996</v>
      </c>
      <c r="H157" s="134">
        <f t="shared" si="21"/>
        <v>17898.36</v>
      </c>
      <c r="I157" s="134">
        <f>SUM(I149:I156)</f>
        <v>0</v>
      </c>
      <c r="J157" s="134">
        <f>SUM(J149:J156)</f>
        <v>0</v>
      </c>
      <c r="K157" s="31"/>
      <c r="L157" s="58"/>
    </row>
    <row r="158" spans="1:12" s="28" customFormat="1" ht="26.4" x14ac:dyDescent="0.3">
      <c r="A158" s="13">
        <v>132</v>
      </c>
      <c r="B158" s="242" t="s">
        <v>237</v>
      </c>
      <c r="C158" s="16" t="s">
        <v>257</v>
      </c>
      <c r="D158" s="1" t="s">
        <v>258</v>
      </c>
      <c r="E158" s="42" t="s">
        <v>240</v>
      </c>
      <c r="F158" s="101">
        <v>8764</v>
      </c>
      <c r="G158" s="109">
        <v>0</v>
      </c>
      <c r="H158" s="101">
        <v>0</v>
      </c>
      <c r="I158" s="101">
        <v>8764</v>
      </c>
      <c r="J158" s="101">
        <v>0</v>
      </c>
      <c r="K158" s="16" t="s">
        <v>259</v>
      </c>
    </row>
    <row r="159" spans="1:12" s="28" customFormat="1" ht="26.4" x14ac:dyDescent="0.3">
      <c r="A159" s="13">
        <f>A158+1</f>
        <v>133</v>
      </c>
      <c r="B159" s="243"/>
      <c r="C159" s="16" t="s">
        <v>260</v>
      </c>
      <c r="D159" s="1" t="s">
        <v>261</v>
      </c>
      <c r="E159" s="42" t="s">
        <v>240</v>
      </c>
      <c r="F159" s="101">
        <v>233.08</v>
      </c>
      <c r="G159" s="109">
        <v>0</v>
      </c>
      <c r="H159" s="101">
        <v>0</v>
      </c>
      <c r="I159" s="101">
        <v>233.08</v>
      </c>
      <c r="J159" s="101">
        <v>0</v>
      </c>
      <c r="K159" s="16" t="s">
        <v>259</v>
      </c>
    </row>
    <row r="160" spans="1:12" s="28" customFormat="1" ht="26.4" x14ac:dyDescent="0.3">
      <c r="A160" s="13">
        <f t="shared" ref="A160:A162" si="22">A159+1</f>
        <v>134</v>
      </c>
      <c r="B160" s="243"/>
      <c r="C160" s="16" t="s">
        <v>262</v>
      </c>
      <c r="D160" s="1" t="s">
        <v>263</v>
      </c>
      <c r="E160" s="42" t="s">
        <v>240</v>
      </c>
      <c r="F160" s="101">
        <v>710.4</v>
      </c>
      <c r="G160" s="109">
        <v>0</v>
      </c>
      <c r="H160" s="101">
        <v>0</v>
      </c>
      <c r="I160" s="101">
        <v>710.4</v>
      </c>
      <c r="J160" s="101">
        <v>0</v>
      </c>
      <c r="K160" s="16" t="s">
        <v>259</v>
      </c>
    </row>
    <row r="161" spans="1:12" s="28" customFormat="1" ht="32.4" customHeight="1" x14ac:dyDescent="0.3">
      <c r="A161" s="13">
        <f t="shared" si="22"/>
        <v>135</v>
      </c>
      <c r="B161" s="243"/>
      <c r="C161" s="16" t="s">
        <v>264</v>
      </c>
      <c r="D161" s="1" t="s">
        <v>265</v>
      </c>
      <c r="E161" s="42" t="s">
        <v>240</v>
      </c>
      <c r="F161" s="101">
        <v>269.2</v>
      </c>
      <c r="G161" s="109">
        <v>0</v>
      </c>
      <c r="H161" s="101">
        <v>0</v>
      </c>
      <c r="I161" s="101">
        <v>269.2</v>
      </c>
      <c r="J161" s="101">
        <v>0</v>
      </c>
      <c r="K161" s="16" t="s">
        <v>259</v>
      </c>
    </row>
    <row r="162" spans="1:12" s="28" customFormat="1" ht="52.8" x14ac:dyDescent="0.3">
      <c r="A162" s="13">
        <f t="shared" si="22"/>
        <v>136</v>
      </c>
      <c r="B162" s="244"/>
      <c r="C162" s="16" t="s">
        <v>266</v>
      </c>
      <c r="D162" s="14" t="s">
        <v>267</v>
      </c>
      <c r="E162" s="42" t="s">
        <v>240</v>
      </c>
      <c r="F162" s="101">
        <v>5451.56</v>
      </c>
      <c r="G162" s="109">
        <v>0</v>
      </c>
      <c r="H162" s="101">
        <v>0</v>
      </c>
      <c r="I162" s="101">
        <v>5451.56</v>
      </c>
      <c r="J162" s="101">
        <v>0</v>
      </c>
      <c r="K162" s="16" t="s">
        <v>259</v>
      </c>
    </row>
    <row r="163" spans="1:12" s="32" customFormat="1" ht="31.8" customHeight="1" x14ac:dyDescent="0.3">
      <c r="A163" s="240" t="s">
        <v>269</v>
      </c>
      <c r="B163" s="240"/>
      <c r="C163" s="240"/>
      <c r="D163" s="31"/>
      <c r="E163" s="31"/>
      <c r="F163" s="134">
        <f>SUM(F158:F162)</f>
        <v>15428.240000000002</v>
      </c>
      <c r="G163" s="134">
        <f>SUM(G158:G162)</f>
        <v>0</v>
      </c>
      <c r="H163" s="134">
        <f>SUM(H158:H162)</f>
        <v>0</v>
      </c>
      <c r="I163" s="134">
        <f>SUM(I158:I162)</f>
        <v>15428.240000000002</v>
      </c>
      <c r="J163" s="134">
        <f>SUM(J158:J162)</f>
        <v>0</v>
      </c>
      <c r="K163" s="31"/>
    </row>
    <row r="164" spans="1:12" s="28" customFormat="1" ht="23.4" customHeight="1" x14ac:dyDescent="0.3">
      <c r="A164" s="13">
        <v>137</v>
      </c>
      <c r="B164" s="242" t="s">
        <v>270</v>
      </c>
      <c r="C164" s="1" t="s">
        <v>271</v>
      </c>
      <c r="D164" s="1" t="s">
        <v>137</v>
      </c>
      <c r="E164" s="1" t="s">
        <v>19</v>
      </c>
      <c r="F164" s="193">
        <f>G164+H164+I164</f>
        <v>4694.5600000000004</v>
      </c>
      <c r="G164" s="193">
        <v>885.04</v>
      </c>
      <c r="H164" s="101">
        <v>3511.3</v>
      </c>
      <c r="I164" s="101">
        <v>298.22000000000003</v>
      </c>
      <c r="J164" s="101">
        <v>0</v>
      </c>
      <c r="K164" s="16" t="s">
        <v>185</v>
      </c>
    </row>
    <row r="165" spans="1:12" s="28" customFormat="1" ht="41.4" customHeight="1" x14ac:dyDescent="0.3">
      <c r="A165" s="13">
        <v>138</v>
      </c>
      <c r="B165" s="243"/>
      <c r="C165" s="1" t="s">
        <v>272</v>
      </c>
      <c r="D165" s="1" t="s">
        <v>273</v>
      </c>
      <c r="E165" s="1" t="s">
        <v>19</v>
      </c>
      <c r="F165" s="193">
        <f t="shared" ref="F165:F166" si="23">G165+H165+I165</f>
        <v>956.48</v>
      </c>
      <c r="G165" s="193">
        <v>478.24</v>
      </c>
      <c r="H165" s="101">
        <v>478.24</v>
      </c>
      <c r="I165" s="101">
        <v>0</v>
      </c>
      <c r="J165" s="101">
        <v>0</v>
      </c>
      <c r="K165" s="16" t="s">
        <v>274</v>
      </c>
    </row>
    <row r="166" spans="1:12" s="28" customFormat="1" ht="40.799999999999997" customHeight="1" x14ac:dyDescent="0.3">
      <c r="A166" s="13">
        <v>139</v>
      </c>
      <c r="B166" s="244"/>
      <c r="C166" s="1" t="s">
        <v>275</v>
      </c>
      <c r="D166" s="1" t="s">
        <v>276</v>
      </c>
      <c r="E166" s="1" t="s">
        <v>19</v>
      </c>
      <c r="F166" s="193">
        <f t="shared" si="23"/>
        <v>496.26</v>
      </c>
      <c r="G166" s="230">
        <v>0</v>
      </c>
      <c r="H166" s="193">
        <v>248.13</v>
      </c>
      <c r="I166" s="101">
        <v>248.13</v>
      </c>
      <c r="J166" s="101">
        <v>0</v>
      </c>
      <c r="K166" s="16" t="s">
        <v>277</v>
      </c>
    </row>
    <row r="167" spans="1:12" s="32" customFormat="1" ht="26.4" customHeight="1" x14ac:dyDescent="0.3">
      <c r="A167" s="250" t="s">
        <v>278</v>
      </c>
      <c r="B167" s="251"/>
      <c r="C167" s="252"/>
      <c r="D167" s="34"/>
      <c r="E167" s="34"/>
      <c r="F167" s="134">
        <f>SUM(F164:F166)</f>
        <v>6147.3000000000011</v>
      </c>
      <c r="G167" s="134">
        <f t="shared" ref="G167:I167" si="24">SUM(G164:G166)</f>
        <v>1363.28</v>
      </c>
      <c r="H167" s="134">
        <f t="shared" si="24"/>
        <v>4237.67</v>
      </c>
      <c r="I167" s="134">
        <f t="shared" si="24"/>
        <v>546.35</v>
      </c>
      <c r="J167" s="134">
        <f t="shared" ref="J167" si="25">SUM(J164:J166)</f>
        <v>0</v>
      </c>
      <c r="K167" s="31"/>
      <c r="L167" s="58"/>
    </row>
    <row r="168" spans="1:12" s="28" customFormat="1" ht="25.8" customHeight="1" x14ac:dyDescent="0.3">
      <c r="A168" s="13">
        <v>140</v>
      </c>
      <c r="B168" s="242" t="s">
        <v>279</v>
      </c>
      <c r="C168" s="1" t="s">
        <v>280</v>
      </c>
      <c r="D168" s="1" t="s">
        <v>137</v>
      </c>
      <c r="E168" s="1" t="s">
        <v>19</v>
      </c>
      <c r="F168" s="193">
        <v>2000</v>
      </c>
      <c r="G168" s="193">
        <v>0</v>
      </c>
      <c r="H168" s="101">
        <v>2000</v>
      </c>
      <c r="I168" s="101">
        <v>0</v>
      </c>
      <c r="J168" s="101">
        <v>0</v>
      </c>
      <c r="K168" s="16" t="s">
        <v>281</v>
      </c>
    </row>
    <row r="169" spans="1:12" s="28" customFormat="1" ht="55.8" customHeight="1" x14ac:dyDescent="0.3">
      <c r="A169" s="13">
        <v>141</v>
      </c>
      <c r="B169" s="243"/>
      <c r="C169" s="1" t="s">
        <v>282</v>
      </c>
      <c r="D169" s="1" t="s">
        <v>254</v>
      </c>
      <c r="E169" s="1" t="s">
        <v>19</v>
      </c>
      <c r="F169" s="193">
        <v>3697</v>
      </c>
      <c r="G169" s="193">
        <v>0</v>
      </c>
      <c r="H169" s="101">
        <v>3697</v>
      </c>
      <c r="I169" s="101">
        <v>0</v>
      </c>
      <c r="J169" s="101">
        <v>0</v>
      </c>
      <c r="K169" s="16" t="s">
        <v>283</v>
      </c>
    </row>
    <row r="170" spans="1:12" s="28" customFormat="1" ht="24.6" customHeight="1" x14ac:dyDescent="0.3">
      <c r="A170" s="13">
        <v>142</v>
      </c>
      <c r="B170" s="244"/>
      <c r="C170" s="1" t="s">
        <v>284</v>
      </c>
      <c r="D170" s="1" t="s">
        <v>165</v>
      </c>
      <c r="E170" s="1" t="s">
        <v>19</v>
      </c>
      <c r="F170" s="193">
        <v>2000</v>
      </c>
      <c r="G170" s="193">
        <v>0</v>
      </c>
      <c r="H170" s="101">
        <v>2000</v>
      </c>
      <c r="I170" s="101">
        <v>0</v>
      </c>
      <c r="J170" s="101">
        <v>0</v>
      </c>
      <c r="K170" s="16" t="s">
        <v>281</v>
      </c>
    </row>
    <row r="171" spans="1:12" s="32" customFormat="1" ht="30" customHeight="1" x14ac:dyDescent="0.3">
      <c r="A171" s="250" t="s">
        <v>292</v>
      </c>
      <c r="B171" s="251"/>
      <c r="C171" s="252"/>
      <c r="D171" s="34"/>
      <c r="E171" s="34"/>
      <c r="F171" s="134">
        <f>SUM(F168:F170)</f>
        <v>7697</v>
      </c>
      <c r="G171" s="134">
        <f>SUM(G168:G170)</f>
        <v>0</v>
      </c>
      <c r="H171" s="134">
        <f>SUM(H168:H170)</f>
        <v>7697</v>
      </c>
      <c r="I171" s="134">
        <f>SUM(I168:I170)</f>
        <v>0</v>
      </c>
      <c r="J171" s="134">
        <f>SUM(J168:J170)</f>
        <v>0</v>
      </c>
      <c r="K171" s="31"/>
    </row>
    <row r="172" spans="1:12" s="28" customFormat="1" ht="26.4" x14ac:dyDescent="0.3">
      <c r="A172" s="13">
        <v>143</v>
      </c>
      <c r="B172" s="242" t="s">
        <v>279</v>
      </c>
      <c r="C172" s="16" t="s">
        <v>285</v>
      </c>
      <c r="D172" s="1" t="s">
        <v>165</v>
      </c>
      <c r="E172" s="1" t="s">
        <v>19</v>
      </c>
      <c r="F172" s="193">
        <v>2000</v>
      </c>
      <c r="G172" s="193">
        <v>0</v>
      </c>
      <c r="H172" s="101">
        <v>0</v>
      </c>
      <c r="I172" s="101">
        <v>2000</v>
      </c>
      <c r="J172" s="101">
        <v>0</v>
      </c>
      <c r="K172" s="16" t="s">
        <v>286</v>
      </c>
    </row>
    <row r="173" spans="1:12" s="28" customFormat="1" ht="52.8" x14ac:dyDescent="0.3">
      <c r="A173" s="13">
        <v>144</v>
      </c>
      <c r="B173" s="243"/>
      <c r="C173" s="16" t="s">
        <v>287</v>
      </c>
      <c r="D173" s="1" t="s">
        <v>267</v>
      </c>
      <c r="E173" s="1" t="s">
        <v>19</v>
      </c>
      <c r="F173" s="193">
        <v>3697</v>
      </c>
      <c r="G173" s="193">
        <v>0</v>
      </c>
      <c r="H173" s="101">
        <v>0</v>
      </c>
      <c r="I173" s="101">
        <v>3697</v>
      </c>
      <c r="J173" s="101">
        <v>0</v>
      </c>
      <c r="K173" s="16" t="s">
        <v>288</v>
      </c>
    </row>
    <row r="174" spans="1:12" s="28" customFormat="1" ht="26.4" x14ac:dyDescent="0.3">
      <c r="A174" s="13">
        <v>145</v>
      </c>
      <c r="B174" s="243"/>
      <c r="C174" s="16" t="s">
        <v>289</v>
      </c>
      <c r="D174" s="1" t="s">
        <v>290</v>
      </c>
      <c r="E174" s="1" t="s">
        <v>19</v>
      </c>
      <c r="F174" s="193">
        <v>1000</v>
      </c>
      <c r="G174" s="193">
        <v>0</v>
      </c>
      <c r="H174" s="101">
        <v>0</v>
      </c>
      <c r="I174" s="101">
        <v>1000</v>
      </c>
      <c r="J174" s="101">
        <v>0</v>
      </c>
      <c r="K174" s="16" t="s">
        <v>286</v>
      </c>
    </row>
    <row r="175" spans="1:12" s="28" customFormat="1" ht="35.4" customHeight="1" x14ac:dyDescent="0.3">
      <c r="A175" s="13">
        <v>146</v>
      </c>
      <c r="B175" s="244"/>
      <c r="C175" s="16" t="s">
        <v>291</v>
      </c>
      <c r="D175" s="13" t="s">
        <v>137</v>
      </c>
      <c r="E175" s="13" t="s">
        <v>19</v>
      </c>
      <c r="F175" s="101">
        <v>2000</v>
      </c>
      <c r="G175" s="193">
        <v>0</v>
      </c>
      <c r="H175" s="101">
        <v>0</v>
      </c>
      <c r="I175" s="101">
        <v>2000</v>
      </c>
      <c r="J175" s="101">
        <v>0</v>
      </c>
      <c r="K175" s="16" t="s">
        <v>286</v>
      </c>
    </row>
    <row r="176" spans="1:12" s="32" customFormat="1" ht="31.2" customHeight="1" x14ac:dyDescent="0.3">
      <c r="A176" s="240" t="s">
        <v>293</v>
      </c>
      <c r="B176" s="240"/>
      <c r="C176" s="240"/>
      <c r="D176" s="31"/>
      <c r="E176" s="31"/>
      <c r="F176" s="134">
        <f>SUM(F172:F175)</f>
        <v>8697</v>
      </c>
      <c r="G176" s="134">
        <f t="shared" ref="G176:J176" si="26">SUM(G172:G175)</f>
        <v>0</v>
      </c>
      <c r="H176" s="134">
        <f t="shared" si="26"/>
        <v>0</v>
      </c>
      <c r="I176" s="134">
        <f t="shared" si="26"/>
        <v>8697</v>
      </c>
      <c r="J176" s="134">
        <f t="shared" si="26"/>
        <v>0</v>
      </c>
      <c r="K176" s="31"/>
    </row>
    <row r="177" spans="1:12" s="28" customFormat="1" ht="33" customHeight="1" x14ac:dyDescent="0.3">
      <c r="A177" s="13">
        <v>147</v>
      </c>
      <c r="B177" s="242" t="s">
        <v>294</v>
      </c>
      <c r="C177" s="1" t="s">
        <v>295</v>
      </c>
      <c r="D177" s="1" t="s">
        <v>137</v>
      </c>
      <c r="E177" s="1" t="s">
        <v>18</v>
      </c>
      <c r="F177" s="193">
        <f>G177+H177</f>
        <v>8784</v>
      </c>
      <c r="G177" s="193">
        <v>2232</v>
      </c>
      <c r="H177" s="101">
        <v>6552</v>
      </c>
      <c r="I177" s="101">
        <v>0</v>
      </c>
      <c r="J177" s="101">
        <v>0</v>
      </c>
      <c r="K177" s="16" t="s">
        <v>120</v>
      </c>
    </row>
    <row r="178" spans="1:12" s="28" customFormat="1" ht="28.8" customHeight="1" x14ac:dyDescent="0.3">
      <c r="A178" s="43">
        <v>148</v>
      </c>
      <c r="B178" s="243"/>
      <c r="C178" s="14" t="s">
        <v>1536</v>
      </c>
      <c r="D178" s="1" t="s">
        <v>165</v>
      </c>
      <c r="E178" s="13" t="s">
        <v>19</v>
      </c>
      <c r="F178" s="193">
        <f t="shared" ref="F178:F179" si="27">G178+H178</f>
        <v>3626.28</v>
      </c>
      <c r="G178" s="193">
        <v>0</v>
      </c>
      <c r="H178" s="193">
        <v>3626.28</v>
      </c>
      <c r="I178" s="101">
        <v>0</v>
      </c>
      <c r="J178" s="101">
        <v>0</v>
      </c>
      <c r="K178" s="16" t="s">
        <v>120</v>
      </c>
    </row>
    <row r="179" spans="1:12" s="28" customFormat="1" ht="60" customHeight="1" x14ac:dyDescent="0.3">
      <c r="A179" s="43">
        <v>149</v>
      </c>
      <c r="B179" s="244"/>
      <c r="C179" s="14" t="s">
        <v>1537</v>
      </c>
      <c r="D179" s="14" t="s">
        <v>254</v>
      </c>
      <c r="E179" s="13" t="s">
        <v>19</v>
      </c>
      <c r="F179" s="193">
        <f t="shared" si="27"/>
        <v>3018.91</v>
      </c>
      <c r="G179" s="193">
        <v>0</v>
      </c>
      <c r="H179" s="193">
        <v>3018.91</v>
      </c>
      <c r="I179" s="101">
        <v>0</v>
      </c>
      <c r="J179" s="101">
        <v>0</v>
      </c>
      <c r="K179" s="16" t="s">
        <v>296</v>
      </c>
    </row>
    <row r="180" spans="1:12" s="32" customFormat="1" ht="27" customHeight="1" x14ac:dyDescent="0.3">
      <c r="A180" s="250" t="s">
        <v>297</v>
      </c>
      <c r="B180" s="251"/>
      <c r="C180" s="252"/>
      <c r="D180" s="34"/>
      <c r="E180" s="34"/>
      <c r="F180" s="134">
        <f>SUM(F177:F179)</f>
        <v>15429.19</v>
      </c>
      <c r="G180" s="134">
        <f t="shared" ref="G180:J180" si="28">SUM(G177:G179)</f>
        <v>2232</v>
      </c>
      <c r="H180" s="134">
        <f t="shared" si="28"/>
        <v>13197.19</v>
      </c>
      <c r="I180" s="134">
        <f t="shared" si="28"/>
        <v>0</v>
      </c>
      <c r="J180" s="134">
        <f t="shared" si="28"/>
        <v>0</v>
      </c>
      <c r="K180" s="31"/>
      <c r="L180" s="58"/>
    </row>
    <row r="181" spans="1:12" s="28" customFormat="1" ht="36.6" customHeight="1" x14ac:dyDescent="0.3">
      <c r="A181" s="13">
        <v>150</v>
      </c>
      <c r="B181" s="242" t="s">
        <v>294</v>
      </c>
      <c r="C181" s="16" t="s">
        <v>1538</v>
      </c>
      <c r="D181" s="1" t="s">
        <v>137</v>
      </c>
      <c r="E181" s="1" t="s">
        <v>18</v>
      </c>
      <c r="F181" s="197">
        <v>6816.44</v>
      </c>
      <c r="G181" s="109">
        <v>0</v>
      </c>
      <c r="H181" s="101">
        <v>0</v>
      </c>
      <c r="I181" s="197">
        <v>6816.44</v>
      </c>
      <c r="J181" s="101">
        <v>0</v>
      </c>
      <c r="K181" s="16" t="s">
        <v>125</v>
      </c>
    </row>
    <row r="182" spans="1:12" s="28" customFormat="1" ht="26.4" x14ac:dyDescent="0.3">
      <c r="A182" s="13">
        <v>151</v>
      </c>
      <c r="B182" s="243"/>
      <c r="C182" s="16" t="s">
        <v>1539</v>
      </c>
      <c r="D182" s="1" t="s">
        <v>165</v>
      </c>
      <c r="E182" s="13" t="s">
        <v>19</v>
      </c>
      <c r="F182" s="109">
        <v>4209.6400000000003</v>
      </c>
      <c r="G182" s="109">
        <v>0</v>
      </c>
      <c r="H182" s="101">
        <v>0</v>
      </c>
      <c r="I182" s="109">
        <v>4209.6400000000003</v>
      </c>
      <c r="J182" s="101">
        <v>0</v>
      </c>
      <c r="K182" s="16" t="s">
        <v>125</v>
      </c>
    </row>
    <row r="183" spans="1:12" s="28" customFormat="1" ht="58.8" customHeight="1" x14ac:dyDescent="0.3">
      <c r="A183" s="13">
        <v>152</v>
      </c>
      <c r="B183" s="244"/>
      <c r="C183" s="16" t="s">
        <v>1540</v>
      </c>
      <c r="D183" s="16" t="s">
        <v>267</v>
      </c>
      <c r="E183" s="13" t="s">
        <v>19</v>
      </c>
      <c r="F183" s="101">
        <v>3018.91</v>
      </c>
      <c r="G183" s="109">
        <v>0</v>
      </c>
      <c r="H183" s="101">
        <v>0</v>
      </c>
      <c r="I183" s="101">
        <v>3018.91</v>
      </c>
      <c r="J183" s="101">
        <v>0</v>
      </c>
      <c r="K183" s="16" t="s">
        <v>125</v>
      </c>
    </row>
    <row r="184" spans="1:12" s="32" customFormat="1" ht="29.4" customHeight="1" x14ac:dyDescent="0.3">
      <c r="A184" s="240" t="s">
        <v>298</v>
      </c>
      <c r="B184" s="240"/>
      <c r="C184" s="240"/>
      <c r="D184" s="31"/>
      <c r="E184" s="31"/>
      <c r="F184" s="134">
        <f>SUM(F181:F183)</f>
        <v>14044.99</v>
      </c>
      <c r="G184" s="134">
        <f t="shared" ref="G184:J184" si="29">SUM(G181:G183)</f>
        <v>0</v>
      </c>
      <c r="H184" s="134">
        <f t="shared" si="29"/>
        <v>0</v>
      </c>
      <c r="I184" s="134">
        <f t="shared" si="29"/>
        <v>14044.99</v>
      </c>
      <c r="J184" s="134">
        <f t="shared" si="29"/>
        <v>0</v>
      </c>
      <c r="K184" s="31"/>
    </row>
    <row r="185" spans="1:12" s="9" customFormat="1" ht="30.75" customHeight="1" x14ac:dyDescent="0.3">
      <c r="A185" s="3">
        <v>153</v>
      </c>
      <c r="B185" s="346" t="s">
        <v>1518</v>
      </c>
      <c r="C185" s="4" t="s">
        <v>1519</v>
      </c>
      <c r="D185" s="4" t="s">
        <v>1520</v>
      </c>
      <c r="E185" s="4" t="s">
        <v>19</v>
      </c>
      <c r="F185" s="100">
        <v>9561.32</v>
      </c>
      <c r="G185" s="100">
        <v>9561.32</v>
      </c>
      <c r="H185" s="100">
        <v>0</v>
      </c>
      <c r="I185" s="100">
        <v>0</v>
      </c>
      <c r="J185" s="100">
        <v>0</v>
      </c>
      <c r="K185" s="5" t="s">
        <v>190</v>
      </c>
    </row>
    <row r="186" spans="1:12" s="9" customFormat="1" ht="26.4" x14ac:dyDescent="0.3">
      <c r="A186" s="3">
        <v>154</v>
      </c>
      <c r="B186" s="347"/>
      <c r="C186" s="4" t="s">
        <v>1521</v>
      </c>
      <c r="D186" s="4" t="s">
        <v>1520</v>
      </c>
      <c r="E186" s="4" t="s">
        <v>19</v>
      </c>
      <c r="F186" s="198">
        <v>1293.69</v>
      </c>
      <c r="G186" s="198">
        <v>0</v>
      </c>
      <c r="H186" s="198">
        <v>1293.69</v>
      </c>
      <c r="I186" s="100">
        <v>0</v>
      </c>
      <c r="J186" s="100">
        <v>0</v>
      </c>
      <c r="K186" s="5" t="s">
        <v>847</v>
      </c>
    </row>
    <row r="187" spans="1:12" s="9" customFormat="1" ht="26.4" x14ac:dyDescent="0.3">
      <c r="A187" s="3">
        <v>155</v>
      </c>
      <c r="B187" s="347"/>
      <c r="C187" s="4" t="s">
        <v>1522</v>
      </c>
      <c r="D187" s="4" t="s">
        <v>137</v>
      </c>
      <c r="E187" s="4" t="s">
        <v>19</v>
      </c>
      <c r="F187" s="198">
        <v>7835.05</v>
      </c>
      <c r="G187" s="198">
        <v>0</v>
      </c>
      <c r="H187" s="198">
        <v>7835.05</v>
      </c>
      <c r="I187" s="100">
        <v>0</v>
      </c>
      <c r="J187" s="100">
        <v>0</v>
      </c>
      <c r="K187" s="5" t="s">
        <v>847</v>
      </c>
    </row>
    <row r="188" spans="1:12" s="9" customFormat="1" ht="52.8" x14ac:dyDescent="0.3">
      <c r="A188" s="3">
        <v>156</v>
      </c>
      <c r="B188" s="347"/>
      <c r="C188" s="4" t="s">
        <v>1523</v>
      </c>
      <c r="D188" s="4" t="s">
        <v>1524</v>
      </c>
      <c r="E188" s="4" t="s">
        <v>19</v>
      </c>
      <c r="F188" s="198">
        <v>8935.35</v>
      </c>
      <c r="G188" s="198">
        <v>0</v>
      </c>
      <c r="H188" s="198">
        <v>8935.35</v>
      </c>
      <c r="I188" s="100">
        <v>0</v>
      </c>
      <c r="J188" s="100">
        <v>0</v>
      </c>
      <c r="K188" s="5" t="s">
        <v>847</v>
      </c>
    </row>
    <row r="189" spans="1:12" s="9" customFormat="1" ht="26.4" x14ac:dyDescent="0.3">
      <c r="A189" s="3">
        <v>157</v>
      </c>
      <c r="B189" s="347"/>
      <c r="C189" s="4" t="s">
        <v>1525</v>
      </c>
      <c r="D189" s="4" t="s">
        <v>290</v>
      </c>
      <c r="E189" s="4" t="s">
        <v>19</v>
      </c>
      <c r="F189" s="198">
        <v>7143.15</v>
      </c>
      <c r="G189" s="198">
        <v>0</v>
      </c>
      <c r="H189" s="198">
        <v>7143.15</v>
      </c>
      <c r="I189" s="100">
        <v>0</v>
      </c>
      <c r="J189" s="100">
        <v>0</v>
      </c>
      <c r="K189" s="5" t="s">
        <v>847</v>
      </c>
    </row>
    <row r="190" spans="1:12" s="9" customFormat="1" ht="52.8" x14ac:dyDescent="0.3">
      <c r="A190" s="3">
        <v>158</v>
      </c>
      <c r="B190" s="347"/>
      <c r="C190" s="4" t="s">
        <v>1526</v>
      </c>
      <c r="D190" s="4" t="s">
        <v>1527</v>
      </c>
      <c r="E190" s="4" t="s">
        <v>19</v>
      </c>
      <c r="F190" s="198">
        <v>2797.78</v>
      </c>
      <c r="G190" s="198">
        <v>0</v>
      </c>
      <c r="H190" s="198">
        <v>2797.78</v>
      </c>
      <c r="I190" s="100">
        <v>0</v>
      </c>
      <c r="J190" s="100">
        <v>0</v>
      </c>
      <c r="K190" s="5" t="s">
        <v>847</v>
      </c>
    </row>
    <row r="191" spans="1:12" s="9" customFormat="1" ht="26.4" x14ac:dyDescent="0.3">
      <c r="A191" s="3">
        <v>159</v>
      </c>
      <c r="B191" s="348"/>
      <c r="C191" s="4" t="s">
        <v>1528</v>
      </c>
      <c r="D191" s="4" t="s">
        <v>165</v>
      </c>
      <c r="E191" s="4" t="s">
        <v>19</v>
      </c>
      <c r="F191" s="198">
        <v>1105.1199999999999</v>
      </c>
      <c r="G191" s="198">
        <v>0</v>
      </c>
      <c r="H191" s="198">
        <v>1105.1199999999999</v>
      </c>
      <c r="I191" s="100">
        <v>0</v>
      </c>
      <c r="J191" s="100">
        <v>0</v>
      </c>
      <c r="K191" s="5" t="s">
        <v>847</v>
      </c>
    </row>
    <row r="192" spans="1:12" s="12" customFormat="1" ht="30" customHeight="1" x14ac:dyDescent="0.3">
      <c r="A192" s="339" t="s">
        <v>1534</v>
      </c>
      <c r="B192" s="340"/>
      <c r="C192" s="341"/>
      <c r="D192" s="10"/>
      <c r="E192" s="10"/>
      <c r="F192" s="192">
        <f>SUM(F185:F191)</f>
        <v>38671.460000000006</v>
      </c>
      <c r="G192" s="192">
        <f t="shared" ref="G192:H192" si="30">SUM(G185:G191)</f>
        <v>9561.32</v>
      </c>
      <c r="H192" s="192">
        <f t="shared" si="30"/>
        <v>29110.139999999996</v>
      </c>
      <c r="I192" s="192">
        <f t="shared" ref="I192:J192" si="31">SUM(I185:I191)</f>
        <v>0</v>
      </c>
      <c r="J192" s="192">
        <f t="shared" si="31"/>
        <v>0</v>
      </c>
      <c r="K192" s="11"/>
      <c r="L192" s="72"/>
    </row>
    <row r="193" spans="1:12" s="9" customFormat="1" ht="26.4" x14ac:dyDescent="0.3">
      <c r="A193" s="3">
        <v>160</v>
      </c>
      <c r="B193" s="346" t="s">
        <v>1518</v>
      </c>
      <c r="C193" s="4" t="s">
        <v>1529</v>
      </c>
      <c r="D193" s="6" t="s">
        <v>1520</v>
      </c>
      <c r="E193" s="4" t="s">
        <v>19</v>
      </c>
      <c r="F193" s="198">
        <v>1293.69</v>
      </c>
      <c r="G193" s="198">
        <v>0</v>
      </c>
      <c r="H193" s="100">
        <v>0</v>
      </c>
      <c r="I193" s="198">
        <v>1293.69</v>
      </c>
      <c r="J193" s="100">
        <v>0</v>
      </c>
      <c r="K193" s="5" t="s">
        <v>1023</v>
      </c>
    </row>
    <row r="194" spans="1:12" s="9" customFormat="1" ht="26.4" x14ac:dyDescent="0.3">
      <c r="A194" s="3">
        <v>161</v>
      </c>
      <c r="B194" s="347"/>
      <c r="C194" s="4" t="s">
        <v>1530</v>
      </c>
      <c r="D194" s="6" t="s">
        <v>137</v>
      </c>
      <c r="E194" s="4" t="s">
        <v>19</v>
      </c>
      <c r="F194" s="198">
        <v>7924.07</v>
      </c>
      <c r="G194" s="198">
        <v>0</v>
      </c>
      <c r="H194" s="100">
        <v>0</v>
      </c>
      <c r="I194" s="198">
        <v>7924.07</v>
      </c>
      <c r="J194" s="100">
        <v>0</v>
      </c>
      <c r="K194" s="5" t="s">
        <v>1023</v>
      </c>
    </row>
    <row r="195" spans="1:12" s="9" customFormat="1" ht="26.4" x14ac:dyDescent="0.3">
      <c r="A195" s="3">
        <v>162</v>
      </c>
      <c r="B195" s="347"/>
      <c r="C195" s="4" t="s">
        <v>1531</v>
      </c>
      <c r="D195" s="6" t="s">
        <v>290</v>
      </c>
      <c r="E195" s="4" t="s">
        <v>19</v>
      </c>
      <c r="F195" s="198">
        <v>9655.2800000000007</v>
      </c>
      <c r="G195" s="198">
        <v>0</v>
      </c>
      <c r="H195" s="100">
        <v>0</v>
      </c>
      <c r="I195" s="198">
        <v>9655.2800000000007</v>
      </c>
      <c r="J195" s="100">
        <v>0</v>
      </c>
      <c r="K195" s="5" t="s">
        <v>1023</v>
      </c>
    </row>
    <row r="196" spans="1:12" s="9" customFormat="1" ht="52.8" x14ac:dyDescent="0.3">
      <c r="A196" s="3">
        <v>163</v>
      </c>
      <c r="B196" s="347"/>
      <c r="C196" s="4" t="s">
        <v>1532</v>
      </c>
      <c r="D196" s="6" t="s">
        <v>1527</v>
      </c>
      <c r="E196" s="4" t="s">
        <v>19</v>
      </c>
      <c r="F196" s="198">
        <v>2797.78</v>
      </c>
      <c r="G196" s="198">
        <v>0</v>
      </c>
      <c r="H196" s="100">
        <v>0</v>
      </c>
      <c r="I196" s="198">
        <v>2797.78</v>
      </c>
      <c r="J196" s="100">
        <v>0</v>
      </c>
      <c r="K196" s="5" t="s">
        <v>1023</v>
      </c>
    </row>
    <row r="197" spans="1:12" s="9" customFormat="1" ht="26.4" x14ac:dyDescent="0.3">
      <c r="A197" s="3">
        <v>164</v>
      </c>
      <c r="B197" s="348"/>
      <c r="C197" s="4" t="s">
        <v>1533</v>
      </c>
      <c r="D197" s="6" t="s">
        <v>165</v>
      </c>
      <c r="E197" s="4" t="s">
        <v>19</v>
      </c>
      <c r="F197" s="198">
        <v>1105.1199999999999</v>
      </c>
      <c r="G197" s="198">
        <v>0</v>
      </c>
      <c r="H197" s="100">
        <v>0</v>
      </c>
      <c r="I197" s="198">
        <v>1105.1199999999999</v>
      </c>
      <c r="J197" s="100">
        <v>0</v>
      </c>
      <c r="K197" s="5" t="s">
        <v>1023</v>
      </c>
    </row>
    <row r="198" spans="1:12" s="12" customFormat="1" ht="27" customHeight="1" x14ac:dyDescent="0.3">
      <c r="A198" s="342" t="s">
        <v>1535</v>
      </c>
      <c r="B198" s="342"/>
      <c r="C198" s="342"/>
      <c r="D198" s="11"/>
      <c r="E198" s="11"/>
      <c r="F198" s="192">
        <f>SUM(F193:F197)</f>
        <v>22775.94</v>
      </c>
      <c r="G198" s="192">
        <f t="shared" ref="G198:J198" si="32">SUM(G193:G197)</f>
        <v>0</v>
      </c>
      <c r="H198" s="192">
        <f t="shared" si="32"/>
        <v>0</v>
      </c>
      <c r="I198" s="192">
        <f t="shared" si="32"/>
        <v>22775.94</v>
      </c>
      <c r="J198" s="192">
        <f t="shared" si="32"/>
        <v>0</v>
      </c>
      <c r="K198" s="11"/>
    </row>
    <row r="199" spans="1:12" s="28" customFormat="1" ht="30.6" customHeight="1" x14ac:dyDescent="0.3">
      <c r="A199" s="13">
        <v>165</v>
      </c>
      <c r="B199" s="242" t="s">
        <v>299</v>
      </c>
      <c r="C199" s="1" t="s">
        <v>300</v>
      </c>
      <c r="D199" s="1" t="s">
        <v>301</v>
      </c>
      <c r="E199" s="1" t="s">
        <v>19</v>
      </c>
      <c r="F199" s="193">
        <f>G199+H199+I199</f>
        <v>850</v>
      </c>
      <c r="G199" s="193">
        <v>50</v>
      </c>
      <c r="H199" s="101">
        <v>800</v>
      </c>
      <c r="I199" s="101">
        <v>0</v>
      </c>
      <c r="J199" s="101">
        <v>0</v>
      </c>
      <c r="K199" s="16" t="s">
        <v>185</v>
      </c>
    </row>
    <row r="200" spans="1:12" s="28" customFormat="1" ht="31.2" customHeight="1" x14ac:dyDescent="0.3">
      <c r="A200" s="13">
        <v>166</v>
      </c>
      <c r="B200" s="243"/>
      <c r="C200" s="1" t="s">
        <v>302</v>
      </c>
      <c r="D200" s="1" t="s">
        <v>303</v>
      </c>
      <c r="E200" s="1" t="s">
        <v>19</v>
      </c>
      <c r="F200" s="193">
        <f t="shared" ref="F200:F206" si="33">G200+H200+I200</f>
        <v>1939.2</v>
      </c>
      <c r="G200" s="193">
        <v>50</v>
      </c>
      <c r="H200" s="101">
        <v>1889.2</v>
      </c>
      <c r="I200" s="101">
        <v>0</v>
      </c>
      <c r="J200" s="101">
        <v>0</v>
      </c>
      <c r="K200" s="16" t="s">
        <v>185</v>
      </c>
    </row>
    <row r="201" spans="1:12" s="28" customFormat="1" ht="24.6" customHeight="1" x14ac:dyDescent="0.3">
      <c r="A201" s="13">
        <v>167</v>
      </c>
      <c r="B201" s="243"/>
      <c r="C201" s="1" t="s">
        <v>304</v>
      </c>
      <c r="D201" s="1" t="s">
        <v>137</v>
      </c>
      <c r="E201" s="1" t="s">
        <v>19</v>
      </c>
      <c r="F201" s="193">
        <f t="shared" si="33"/>
        <v>5420.4</v>
      </c>
      <c r="G201" s="193">
        <v>1900.79</v>
      </c>
      <c r="H201" s="101">
        <v>3519.61</v>
      </c>
      <c r="I201" s="101">
        <v>0</v>
      </c>
      <c r="J201" s="101">
        <v>0</v>
      </c>
      <c r="K201" s="16" t="s">
        <v>185</v>
      </c>
    </row>
    <row r="202" spans="1:12" s="28" customFormat="1" ht="33" customHeight="1" x14ac:dyDescent="0.3">
      <c r="A202" s="13">
        <v>168</v>
      </c>
      <c r="B202" s="243"/>
      <c r="C202" s="1" t="s">
        <v>305</v>
      </c>
      <c r="D202" s="1" t="s">
        <v>306</v>
      </c>
      <c r="E202" s="1" t="s">
        <v>19</v>
      </c>
      <c r="F202" s="193">
        <f t="shared" si="33"/>
        <v>928.39</v>
      </c>
      <c r="G202" s="193">
        <v>0</v>
      </c>
      <c r="H202" s="101">
        <v>300</v>
      </c>
      <c r="I202" s="101">
        <v>628.39</v>
      </c>
      <c r="J202" s="101">
        <v>0</v>
      </c>
      <c r="K202" s="16" t="s">
        <v>190</v>
      </c>
    </row>
    <row r="203" spans="1:12" s="28" customFormat="1" ht="60.6" customHeight="1" x14ac:dyDescent="0.3">
      <c r="A203" s="13">
        <v>169</v>
      </c>
      <c r="B203" s="243"/>
      <c r="C203" s="1" t="s">
        <v>307</v>
      </c>
      <c r="D203" s="1" t="s">
        <v>308</v>
      </c>
      <c r="E203" s="1" t="s">
        <v>19</v>
      </c>
      <c r="F203" s="193">
        <f t="shared" si="33"/>
        <v>340</v>
      </c>
      <c r="G203" s="193">
        <v>0</v>
      </c>
      <c r="H203" s="101">
        <v>100</v>
      </c>
      <c r="I203" s="101">
        <v>240</v>
      </c>
      <c r="J203" s="101">
        <v>0</v>
      </c>
      <c r="K203" s="16" t="s">
        <v>190</v>
      </c>
    </row>
    <row r="204" spans="1:12" s="28" customFormat="1" ht="33.6" customHeight="1" x14ac:dyDescent="0.3">
      <c r="A204" s="13">
        <v>170</v>
      </c>
      <c r="B204" s="243"/>
      <c r="C204" s="1" t="s">
        <v>309</v>
      </c>
      <c r="D204" s="1" t="s">
        <v>137</v>
      </c>
      <c r="E204" s="1" t="s">
        <v>19</v>
      </c>
      <c r="F204" s="193">
        <f t="shared" si="33"/>
        <v>500</v>
      </c>
      <c r="G204" s="193">
        <v>0</v>
      </c>
      <c r="H204" s="101">
        <v>500</v>
      </c>
      <c r="I204" s="101">
        <v>0</v>
      </c>
      <c r="J204" s="101">
        <v>0</v>
      </c>
      <c r="K204" s="16" t="s">
        <v>310</v>
      </c>
    </row>
    <row r="205" spans="1:12" s="28" customFormat="1" ht="37.200000000000003" customHeight="1" x14ac:dyDescent="0.3">
      <c r="A205" s="13">
        <v>171</v>
      </c>
      <c r="B205" s="243"/>
      <c r="C205" s="1" t="s">
        <v>311</v>
      </c>
      <c r="D205" s="1" t="s">
        <v>165</v>
      </c>
      <c r="E205" s="1" t="s">
        <v>19</v>
      </c>
      <c r="F205" s="193">
        <f t="shared" si="33"/>
        <v>0.08</v>
      </c>
      <c r="G205" s="193">
        <v>0</v>
      </c>
      <c r="H205" s="101">
        <v>0.08</v>
      </c>
      <c r="I205" s="101">
        <v>0</v>
      </c>
      <c r="J205" s="101">
        <v>0</v>
      </c>
      <c r="K205" s="16" t="s">
        <v>310</v>
      </c>
    </row>
    <row r="206" spans="1:12" s="28" customFormat="1" ht="30.6" customHeight="1" x14ac:dyDescent="0.3">
      <c r="A206" s="13">
        <v>172</v>
      </c>
      <c r="B206" s="244"/>
      <c r="C206" s="1" t="s">
        <v>312</v>
      </c>
      <c r="D206" s="1" t="s">
        <v>313</v>
      </c>
      <c r="E206" s="1" t="s">
        <v>19</v>
      </c>
      <c r="F206" s="193">
        <f t="shared" si="33"/>
        <v>815.29</v>
      </c>
      <c r="G206" s="193">
        <v>0</v>
      </c>
      <c r="H206" s="101">
        <v>815.29</v>
      </c>
      <c r="I206" s="101">
        <v>0</v>
      </c>
      <c r="J206" s="101">
        <v>0</v>
      </c>
      <c r="K206" s="16" t="s">
        <v>139</v>
      </c>
    </row>
    <row r="207" spans="1:12" s="32" customFormat="1" ht="27" customHeight="1" x14ac:dyDescent="0.3">
      <c r="A207" s="250" t="s">
        <v>320</v>
      </c>
      <c r="B207" s="251"/>
      <c r="C207" s="252"/>
      <c r="D207" s="34"/>
      <c r="E207" s="34"/>
      <c r="F207" s="134">
        <f>SUM(F199:F206)</f>
        <v>10793.359999999997</v>
      </c>
      <c r="G207" s="134">
        <f t="shared" ref="G207:I207" si="34">SUM(G199:G206)</f>
        <v>2000.79</v>
      </c>
      <c r="H207" s="134">
        <f t="shared" si="34"/>
        <v>7924.1799999999994</v>
      </c>
      <c r="I207" s="134">
        <f t="shared" si="34"/>
        <v>868.39</v>
      </c>
      <c r="J207" s="134">
        <f t="shared" ref="J207" si="35">SUM(J199:J206)</f>
        <v>0</v>
      </c>
      <c r="K207" s="31"/>
      <c r="L207" s="58"/>
    </row>
    <row r="208" spans="1:12" s="28" customFormat="1" ht="26.4" x14ac:dyDescent="0.3">
      <c r="A208" s="13">
        <v>173</v>
      </c>
      <c r="B208" s="242" t="s">
        <v>299</v>
      </c>
      <c r="C208" s="1" t="s">
        <v>314</v>
      </c>
      <c r="D208" s="13" t="s">
        <v>137</v>
      </c>
      <c r="E208" s="13" t="s">
        <v>19</v>
      </c>
      <c r="F208" s="109">
        <v>3140.41</v>
      </c>
      <c r="G208" s="109">
        <v>0</v>
      </c>
      <c r="H208" s="101">
        <v>0</v>
      </c>
      <c r="I208" s="101">
        <v>3140.41</v>
      </c>
      <c r="J208" s="101">
        <v>0</v>
      </c>
      <c r="K208" s="13" t="s">
        <v>315</v>
      </c>
    </row>
    <row r="209" spans="1:12" s="28" customFormat="1" ht="26.4" x14ac:dyDescent="0.3">
      <c r="A209" s="13">
        <v>174</v>
      </c>
      <c r="B209" s="243"/>
      <c r="C209" s="1" t="s">
        <v>316</v>
      </c>
      <c r="D209" s="13" t="s">
        <v>303</v>
      </c>
      <c r="E209" s="13" t="s">
        <v>19</v>
      </c>
      <c r="F209" s="109">
        <v>2838.25</v>
      </c>
      <c r="G209" s="109">
        <v>0</v>
      </c>
      <c r="H209" s="101">
        <v>0</v>
      </c>
      <c r="I209" s="101">
        <v>2838.25</v>
      </c>
      <c r="J209" s="101">
        <v>0</v>
      </c>
      <c r="K209" s="13" t="s">
        <v>315</v>
      </c>
    </row>
    <row r="210" spans="1:12" s="28" customFormat="1" ht="39.6" x14ac:dyDescent="0.3">
      <c r="A210" s="13">
        <v>175</v>
      </c>
      <c r="B210" s="243"/>
      <c r="C210" s="1" t="s">
        <v>317</v>
      </c>
      <c r="D210" s="13" t="s">
        <v>313</v>
      </c>
      <c r="E210" s="13" t="s">
        <v>19</v>
      </c>
      <c r="F210" s="109">
        <v>915.29</v>
      </c>
      <c r="G210" s="109">
        <v>0</v>
      </c>
      <c r="H210" s="101">
        <v>0</v>
      </c>
      <c r="I210" s="101">
        <v>915.29</v>
      </c>
      <c r="J210" s="101">
        <v>0</v>
      </c>
      <c r="K210" s="13" t="s">
        <v>315</v>
      </c>
    </row>
    <row r="211" spans="1:12" s="28" customFormat="1" ht="26.4" x14ac:dyDescent="0.3">
      <c r="A211" s="13">
        <v>176</v>
      </c>
      <c r="B211" s="244"/>
      <c r="C211" s="1" t="s">
        <v>318</v>
      </c>
      <c r="D211" s="13" t="s">
        <v>319</v>
      </c>
      <c r="E211" s="13" t="s">
        <v>19</v>
      </c>
      <c r="F211" s="109">
        <f>I211</f>
        <v>869.39</v>
      </c>
      <c r="G211" s="109">
        <v>0</v>
      </c>
      <c r="H211" s="101">
        <v>0</v>
      </c>
      <c r="I211" s="101">
        <v>869.39</v>
      </c>
      <c r="J211" s="101">
        <v>0</v>
      </c>
      <c r="K211" s="13" t="s">
        <v>315</v>
      </c>
    </row>
    <row r="212" spans="1:12" s="32" customFormat="1" ht="27" customHeight="1" x14ac:dyDescent="0.3">
      <c r="A212" s="240" t="s">
        <v>321</v>
      </c>
      <c r="B212" s="240"/>
      <c r="C212" s="240"/>
      <c r="D212" s="31"/>
      <c r="E212" s="31"/>
      <c r="F212" s="134">
        <f>SUM(F208:F211)</f>
        <v>7763.34</v>
      </c>
      <c r="G212" s="134">
        <f>SUM(G208:G211)</f>
        <v>0</v>
      </c>
      <c r="H212" s="134">
        <f>SUM(H208:H211)</f>
        <v>0</v>
      </c>
      <c r="I212" s="134">
        <f>SUM(I208:I211)</f>
        <v>7763.34</v>
      </c>
      <c r="J212" s="134">
        <f>SUM(J208:J211)</f>
        <v>0</v>
      </c>
      <c r="K212" s="31"/>
    </row>
    <row r="213" spans="1:12" s="28" customFormat="1" ht="76.2" customHeight="1" x14ac:dyDescent="0.3">
      <c r="A213" s="13">
        <v>177</v>
      </c>
      <c r="B213" s="242" t="s">
        <v>322</v>
      </c>
      <c r="C213" s="1" t="s">
        <v>1541</v>
      </c>
      <c r="D213" s="1" t="s">
        <v>323</v>
      </c>
      <c r="E213" s="1" t="s">
        <v>19</v>
      </c>
      <c r="F213" s="193">
        <v>10</v>
      </c>
      <c r="G213" s="193">
        <v>10</v>
      </c>
      <c r="H213" s="101">
        <v>0</v>
      </c>
      <c r="I213" s="101">
        <v>0</v>
      </c>
      <c r="J213" s="101">
        <v>0</v>
      </c>
      <c r="K213" s="16" t="s">
        <v>121</v>
      </c>
    </row>
    <row r="214" spans="1:12" s="28" customFormat="1" ht="26.4" x14ac:dyDescent="0.3">
      <c r="A214" s="13">
        <v>178</v>
      </c>
      <c r="B214" s="243"/>
      <c r="C214" s="1" t="s">
        <v>1542</v>
      </c>
      <c r="D214" s="1" t="s">
        <v>324</v>
      </c>
      <c r="E214" s="1" t="s">
        <v>19</v>
      </c>
      <c r="F214" s="193">
        <v>561.63</v>
      </c>
      <c r="G214" s="193">
        <v>561.63</v>
      </c>
      <c r="H214" s="101">
        <v>0</v>
      </c>
      <c r="I214" s="101">
        <v>0</v>
      </c>
      <c r="J214" s="101">
        <v>0</v>
      </c>
      <c r="K214" s="16" t="s">
        <v>166</v>
      </c>
    </row>
    <row r="215" spans="1:12" s="28" customFormat="1" ht="26.4" x14ac:dyDescent="0.3">
      <c r="A215" s="13">
        <v>179</v>
      </c>
      <c r="B215" s="243"/>
      <c r="C215" s="1" t="s">
        <v>1543</v>
      </c>
      <c r="D215" s="1" t="s">
        <v>137</v>
      </c>
      <c r="E215" s="1" t="s">
        <v>19</v>
      </c>
      <c r="F215" s="193">
        <v>1464</v>
      </c>
      <c r="G215" s="193">
        <v>1464</v>
      </c>
      <c r="H215" s="101">
        <v>0</v>
      </c>
      <c r="I215" s="101">
        <v>0</v>
      </c>
      <c r="J215" s="101">
        <v>0</v>
      </c>
      <c r="K215" s="16" t="s">
        <v>166</v>
      </c>
    </row>
    <row r="216" spans="1:12" s="28" customFormat="1" ht="39.6" x14ac:dyDescent="0.3">
      <c r="A216" s="13">
        <v>180</v>
      </c>
      <c r="B216" s="243"/>
      <c r="C216" s="1" t="s">
        <v>1544</v>
      </c>
      <c r="D216" s="42" t="s">
        <v>325</v>
      </c>
      <c r="E216" s="1" t="s">
        <v>19</v>
      </c>
      <c r="F216" s="109">
        <v>194.7</v>
      </c>
      <c r="G216" s="109">
        <v>0</v>
      </c>
      <c r="H216" s="109">
        <v>194.7</v>
      </c>
      <c r="I216" s="101">
        <v>0</v>
      </c>
      <c r="J216" s="101">
        <v>0</v>
      </c>
      <c r="K216" s="16" t="s">
        <v>326</v>
      </c>
    </row>
    <row r="217" spans="1:12" s="28" customFormat="1" ht="26.4" x14ac:dyDescent="0.3">
      <c r="A217" s="13">
        <v>181</v>
      </c>
      <c r="B217" s="243"/>
      <c r="C217" s="1" t="s">
        <v>1545</v>
      </c>
      <c r="D217" s="42" t="s">
        <v>327</v>
      </c>
      <c r="E217" s="1" t="s">
        <v>19</v>
      </c>
      <c r="F217" s="109">
        <v>400.17</v>
      </c>
      <c r="G217" s="109">
        <v>0</v>
      </c>
      <c r="H217" s="109">
        <v>400.17</v>
      </c>
      <c r="I217" s="101">
        <v>0</v>
      </c>
      <c r="J217" s="101">
        <v>0</v>
      </c>
      <c r="K217" s="16" t="s">
        <v>328</v>
      </c>
    </row>
    <row r="218" spans="1:12" s="28" customFormat="1" ht="52.8" x14ac:dyDescent="0.3">
      <c r="A218" s="13">
        <v>182</v>
      </c>
      <c r="B218" s="243"/>
      <c r="C218" s="1" t="s">
        <v>1546</v>
      </c>
      <c r="D218" s="42" t="s">
        <v>254</v>
      </c>
      <c r="E218" s="1" t="s">
        <v>19</v>
      </c>
      <c r="F218" s="109">
        <v>831.48</v>
      </c>
      <c r="G218" s="109">
        <v>0</v>
      </c>
      <c r="H218" s="109">
        <v>831.48</v>
      </c>
      <c r="I218" s="101">
        <v>0</v>
      </c>
      <c r="J218" s="101">
        <v>0</v>
      </c>
      <c r="K218" s="16" t="s">
        <v>326</v>
      </c>
    </row>
    <row r="219" spans="1:12" s="28" customFormat="1" ht="26.4" x14ac:dyDescent="0.3">
      <c r="A219" s="13">
        <v>183</v>
      </c>
      <c r="B219" s="243"/>
      <c r="C219" s="1" t="s">
        <v>1547</v>
      </c>
      <c r="D219" s="42" t="s">
        <v>165</v>
      </c>
      <c r="E219" s="1" t="s">
        <v>19</v>
      </c>
      <c r="F219" s="109">
        <v>909.72</v>
      </c>
      <c r="G219" s="109">
        <v>0</v>
      </c>
      <c r="H219" s="109">
        <v>909.72</v>
      </c>
      <c r="I219" s="101">
        <v>0</v>
      </c>
      <c r="J219" s="101">
        <v>0</v>
      </c>
      <c r="K219" s="16" t="s">
        <v>328</v>
      </c>
    </row>
    <row r="220" spans="1:12" s="28" customFormat="1" ht="26.4" x14ac:dyDescent="0.3">
      <c r="A220" s="13">
        <v>184</v>
      </c>
      <c r="B220" s="244"/>
      <c r="C220" s="1" t="s">
        <v>1548</v>
      </c>
      <c r="D220" s="1" t="s">
        <v>137</v>
      </c>
      <c r="E220" s="1" t="s">
        <v>19</v>
      </c>
      <c r="F220" s="109">
        <v>5256</v>
      </c>
      <c r="G220" s="109">
        <v>0</v>
      </c>
      <c r="H220" s="109">
        <v>5256</v>
      </c>
      <c r="I220" s="101">
        <v>0</v>
      </c>
      <c r="J220" s="101">
        <v>0</v>
      </c>
      <c r="K220" s="16" t="s">
        <v>329</v>
      </c>
    </row>
    <row r="221" spans="1:12" s="32" customFormat="1" ht="28.2" customHeight="1" x14ac:dyDescent="0.3">
      <c r="A221" s="250" t="s">
        <v>336</v>
      </c>
      <c r="B221" s="251"/>
      <c r="C221" s="252"/>
      <c r="D221" s="34"/>
      <c r="E221" s="34"/>
      <c r="F221" s="134">
        <f>SUM(F213:F220)</f>
        <v>9627.7000000000007</v>
      </c>
      <c r="G221" s="134">
        <f t="shared" ref="G221:H221" si="36">SUM(G213:G220)</f>
        <v>2035.63</v>
      </c>
      <c r="H221" s="134">
        <f t="shared" si="36"/>
        <v>7592.07</v>
      </c>
      <c r="I221" s="134">
        <f t="shared" ref="I221:J221" si="37">SUM(I213:I220)</f>
        <v>0</v>
      </c>
      <c r="J221" s="134">
        <f t="shared" si="37"/>
        <v>0</v>
      </c>
      <c r="K221" s="31"/>
      <c r="L221" s="58"/>
    </row>
    <row r="222" spans="1:12" s="28" customFormat="1" ht="53.4" customHeight="1" x14ac:dyDescent="0.3">
      <c r="A222" s="13">
        <v>185</v>
      </c>
      <c r="B222" s="242" t="s">
        <v>322</v>
      </c>
      <c r="C222" s="1" t="s">
        <v>1549</v>
      </c>
      <c r="D222" s="1" t="s">
        <v>323</v>
      </c>
      <c r="E222" s="1" t="s">
        <v>19</v>
      </c>
      <c r="F222" s="193">
        <v>10</v>
      </c>
      <c r="G222" s="109">
        <v>0</v>
      </c>
      <c r="H222" s="193">
        <v>10</v>
      </c>
      <c r="I222" s="101">
        <v>0</v>
      </c>
      <c r="J222" s="101">
        <v>0</v>
      </c>
      <c r="K222" s="16" t="s">
        <v>124</v>
      </c>
    </row>
    <row r="223" spans="1:12" s="28" customFormat="1" ht="39.6" x14ac:dyDescent="0.3">
      <c r="A223" s="13">
        <v>186</v>
      </c>
      <c r="B223" s="243"/>
      <c r="C223" s="1" t="s">
        <v>1550</v>
      </c>
      <c r="D223" s="42" t="s">
        <v>330</v>
      </c>
      <c r="E223" s="1" t="s">
        <v>19</v>
      </c>
      <c r="F223" s="109">
        <v>194.7</v>
      </c>
      <c r="G223" s="109">
        <v>0</v>
      </c>
      <c r="H223" s="109">
        <v>0</v>
      </c>
      <c r="I223" s="109">
        <v>194.7</v>
      </c>
      <c r="J223" s="101">
        <v>0</v>
      </c>
      <c r="K223" s="16" t="s">
        <v>331</v>
      </c>
    </row>
    <row r="224" spans="1:12" s="28" customFormat="1" ht="26.4" x14ac:dyDescent="0.3">
      <c r="A224" s="13">
        <v>187</v>
      </c>
      <c r="B224" s="243"/>
      <c r="C224" s="1" t="s">
        <v>1551</v>
      </c>
      <c r="D224" s="42" t="s">
        <v>327</v>
      </c>
      <c r="E224" s="1" t="s">
        <v>19</v>
      </c>
      <c r="F224" s="109">
        <v>400.17</v>
      </c>
      <c r="G224" s="109">
        <v>0</v>
      </c>
      <c r="H224" s="109">
        <v>0</v>
      </c>
      <c r="I224" s="109">
        <v>400.17</v>
      </c>
      <c r="J224" s="101">
        <v>0</v>
      </c>
      <c r="K224" s="16" t="s">
        <v>332</v>
      </c>
    </row>
    <row r="225" spans="1:12" s="28" customFormat="1" ht="26.4" x14ac:dyDescent="0.3">
      <c r="A225" s="13">
        <v>188</v>
      </c>
      <c r="B225" s="243"/>
      <c r="C225" s="1" t="s">
        <v>1552</v>
      </c>
      <c r="D225" s="1" t="s">
        <v>324</v>
      </c>
      <c r="E225" s="1" t="s">
        <v>19</v>
      </c>
      <c r="F225" s="109">
        <v>758.83</v>
      </c>
      <c r="G225" s="109">
        <v>0</v>
      </c>
      <c r="H225" s="109">
        <v>758.83</v>
      </c>
      <c r="I225" s="101">
        <v>0</v>
      </c>
      <c r="J225" s="101">
        <v>0</v>
      </c>
      <c r="K225" s="16" t="s">
        <v>333</v>
      </c>
    </row>
    <row r="226" spans="1:12" s="28" customFormat="1" ht="52.8" x14ac:dyDescent="0.3">
      <c r="A226" s="13">
        <v>189</v>
      </c>
      <c r="B226" s="243"/>
      <c r="C226" s="1" t="s">
        <v>1553</v>
      </c>
      <c r="D226" s="42" t="s">
        <v>267</v>
      </c>
      <c r="E226" s="1" t="s">
        <v>19</v>
      </c>
      <c r="F226" s="109">
        <v>831.48</v>
      </c>
      <c r="G226" s="109">
        <v>0</v>
      </c>
      <c r="H226" s="109">
        <v>0</v>
      </c>
      <c r="I226" s="109">
        <v>831.48</v>
      </c>
      <c r="J226" s="101">
        <v>0</v>
      </c>
      <c r="K226" s="16" t="s">
        <v>331</v>
      </c>
    </row>
    <row r="227" spans="1:12" s="28" customFormat="1" ht="26.4" x14ac:dyDescent="0.3">
      <c r="A227" s="13">
        <v>190</v>
      </c>
      <c r="B227" s="243"/>
      <c r="C227" s="1" t="s">
        <v>1554</v>
      </c>
      <c r="D227" s="42" t="s">
        <v>334</v>
      </c>
      <c r="E227" s="1" t="s">
        <v>19</v>
      </c>
      <c r="F227" s="109">
        <v>909.72</v>
      </c>
      <c r="G227" s="109">
        <v>0</v>
      </c>
      <c r="H227" s="109">
        <v>0</v>
      </c>
      <c r="I227" s="109">
        <v>909.72</v>
      </c>
      <c r="J227" s="101">
        <v>0</v>
      </c>
      <c r="K227" s="16" t="s">
        <v>332</v>
      </c>
    </row>
    <row r="228" spans="1:12" s="28" customFormat="1" ht="26.4" x14ac:dyDescent="0.3">
      <c r="A228" s="13">
        <v>191</v>
      </c>
      <c r="B228" s="244"/>
      <c r="C228" s="1" t="s">
        <v>1555</v>
      </c>
      <c r="D228" s="1" t="s">
        <v>205</v>
      </c>
      <c r="E228" s="1" t="s">
        <v>19</v>
      </c>
      <c r="F228" s="109">
        <v>5256</v>
      </c>
      <c r="G228" s="109">
        <v>0</v>
      </c>
      <c r="H228" s="109">
        <v>0</v>
      </c>
      <c r="I228" s="109">
        <v>5256</v>
      </c>
      <c r="J228" s="101">
        <v>0</v>
      </c>
      <c r="K228" s="16" t="s">
        <v>259</v>
      </c>
    </row>
    <row r="229" spans="1:12" s="32" customFormat="1" ht="29.4" customHeight="1" x14ac:dyDescent="0.3">
      <c r="A229" s="240" t="s">
        <v>338</v>
      </c>
      <c r="B229" s="240"/>
      <c r="C229" s="240"/>
      <c r="D229" s="31"/>
      <c r="E229" s="31"/>
      <c r="F229" s="134">
        <f>SUM(F222:F228)</f>
        <v>8360.9000000000015</v>
      </c>
      <c r="G229" s="134">
        <f t="shared" ref="G229:J229" si="38">SUM(G222:G228)</f>
        <v>0</v>
      </c>
      <c r="H229" s="134">
        <f t="shared" si="38"/>
        <v>768.83</v>
      </c>
      <c r="I229" s="134">
        <f t="shared" si="38"/>
        <v>7592.07</v>
      </c>
      <c r="J229" s="134">
        <f t="shared" si="38"/>
        <v>0</v>
      </c>
      <c r="K229" s="31"/>
      <c r="L229" s="58"/>
    </row>
    <row r="230" spans="1:12" s="28" customFormat="1" ht="54" customHeight="1" x14ac:dyDescent="0.3">
      <c r="A230" s="13">
        <v>192</v>
      </c>
      <c r="B230" s="242" t="s">
        <v>322</v>
      </c>
      <c r="C230" s="1" t="s">
        <v>1556</v>
      </c>
      <c r="D230" s="1" t="s">
        <v>323</v>
      </c>
      <c r="E230" s="1" t="s">
        <v>19</v>
      </c>
      <c r="F230" s="193">
        <v>10</v>
      </c>
      <c r="G230" s="101">
        <v>0</v>
      </c>
      <c r="H230" s="101">
        <v>0</v>
      </c>
      <c r="I230" s="101">
        <v>10</v>
      </c>
      <c r="J230" s="101">
        <v>0</v>
      </c>
      <c r="K230" s="16" t="s">
        <v>128</v>
      </c>
    </row>
    <row r="231" spans="1:12" s="28" customFormat="1" ht="26.4" x14ac:dyDescent="0.3">
      <c r="A231" s="13">
        <v>193</v>
      </c>
      <c r="B231" s="244"/>
      <c r="C231" s="1" t="s">
        <v>1557</v>
      </c>
      <c r="D231" s="1" t="s">
        <v>324</v>
      </c>
      <c r="E231" s="1" t="s">
        <v>19</v>
      </c>
      <c r="F231" s="109">
        <v>758.83</v>
      </c>
      <c r="G231" s="101">
        <v>0</v>
      </c>
      <c r="H231" s="101">
        <v>0</v>
      </c>
      <c r="I231" s="109">
        <v>758.83</v>
      </c>
      <c r="J231" s="101">
        <v>0</v>
      </c>
      <c r="K231" s="16" t="s">
        <v>335</v>
      </c>
    </row>
    <row r="232" spans="1:12" s="32" customFormat="1" ht="27" customHeight="1" x14ac:dyDescent="0.3">
      <c r="A232" s="240" t="s">
        <v>337</v>
      </c>
      <c r="B232" s="240"/>
      <c r="C232" s="240"/>
      <c r="D232" s="31"/>
      <c r="E232" s="31"/>
      <c r="F232" s="134">
        <f>SUM(F230:F231)</f>
        <v>768.83</v>
      </c>
      <c r="G232" s="134">
        <f t="shared" ref="G232:J232" si="39">SUM(G230:G231)</f>
        <v>0</v>
      </c>
      <c r="H232" s="134">
        <f t="shared" si="39"/>
        <v>0</v>
      </c>
      <c r="I232" s="134">
        <f t="shared" si="39"/>
        <v>768.83</v>
      </c>
      <c r="J232" s="134">
        <f t="shared" si="39"/>
        <v>0</v>
      </c>
      <c r="K232" s="31"/>
    </row>
    <row r="233" spans="1:12" s="28" customFormat="1" ht="26.4" x14ac:dyDescent="0.3">
      <c r="A233" s="13">
        <v>194</v>
      </c>
      <c r="B233" s="242" t="s">
        <v>339</v>
      </c>
      <c r="C233" s="1" t="s">
        <v>340</v>
      </c>
      <c r="D233" s="1" t="s">
        <v>341</v>
      </c>
      <c r="E233" s="1" t="s">
        <v>19</v>
      </c>
      <c r="F233" s="101">
        <v>120</v>
      </c>
      <c r="G233" s="101">
        <v>120</v>
      </c>
      <c r="H233" s="101">
        <v>0</v>
      </c>
      <c r="I233" s="101">
        <v>0</v>
      </c>
      <c r="J233" s="101">
        <v>0</v>
      </c>
      <c r="K233" s="16" t="s">
        <v>166</v>
      </c>
    </row>
    <row r="234" spans="1:12" s="28" customFormat="1" ht="26.4" x14ac:dyDescent="0.3">
      <c r="A234" s="13">
        <v>195</v>
      </c>
      <c r="B234" s="243"/>
      <c r="C234" s="1" t="s">
        <v>342</v>
      </c>
      <c r="D234" s="1" t="s">
        <v>343</v>
      </c>
      <c r="E234" s="1" t="s">
        <v>19</v>
      </c>
      <c r="F234" s="101">
        <v>16.79</v>
      </c>
      <c r="G234" s="101">
        <v>16.79</v>
      </c>
      <c r="H234" s="101">
        <v>0</v>
      </c>
      <c r="I234" s="101">
        <v>0</v>
      </c>
      <c r="J234" s="101">
        <v>0</v>
      </c>
      <c r="K234" s="16" t="s">
        <v>166</v>
      </c>
    </row>
    <row r="235" spans="1:12" s="28" customFormat="1" ht="26.4" x14ac:dyDescent="0.3">
      <c r="A235" s="13">
        <v>196</v>
      </c>
      <c r="B235" s="243"/>
      <c r="C235" s="1" t="s">
        <v>344</v>
      </c>
      <c r="D235" s="1" t="s">
        <v>345</v>
      </c>
      <c r="E235" s="1" t="s">
        <v>19</v>
      </c>
      <c r="F235" s="101">
        <v>111.63</v>
      </c>
      <c r="G235" s="101">
        <v>111.63</v>
      </c>
      <c r="H235" s="101">
        <v>0</v>
      </c>
      <c r="I235" s="101">
        <v>0</v>
      </c>
      <c r="J235" s="101">
        <v>0</v>
      </c>
      <c r="K235" s="16" t="s">
        <v>166</v>
      </c>
    </row>
    <row r="236" spans="1:12" s="28" customFormat="1" ht="26.4" x14ac:dyDescent="0.3">
      <c r="A236" s="13">
        <v>197</v>
      </c>
      <c r="B236" s="243"/>
      <c r="C236" s="1" t="s">
        <v>346</v>
      </c>
      <c r="D236" s="1" t="s">
        <v>347</v>
      </c>
      <c r="E236" s="1" t="s">
        <v>19</v>
      </c>
      <c r="F236" s="101">
        <v>14.5</v>
      </c>
      <c r="G236" s="101">
        <v>14.5</v>
      </c>
      <c r="H236" s="101">
        <v>0</v>
      </c>
      <c r="I236" s="101">
        <v>0</v>
      </c>
      <c r="J236" s="101">
        <v>0</v>
      </c>
      <c r="K236" s="16" t="s">
        <v>166</v>
      </c>
    </row>
    <row r="237" spans="1:12" s="28" customFormat="1" ht="26.4" x14ac:dyDescent="0.3">
      <c r="A237" s="13">
        <v>198</v>
      </c>
      <c r="B237" s="243"/>
      <c r="C237" s="1" t="s">
        <v>348</v>
      </c>
      <c r="D237" s="1" t="s">
        <v>349</v>
      </c>
      <c r="E237" s="1" t="s">
        <v>19</v>
      </c>
      <c r="F237" s="101">
        <v>14.33</v>
      </c>
      <c r="G237" s="101">
        <v>14.33</v>
      </c>
      <c r="H237" s="101">
        <v>0</v>
      </c>
      <c r="I237" s="101">
        <v>0</v>
      </c>
      <c r="J237" s="101">
        <v>0</v>
      </c>
      <c r="K237" s="16" t="s">
        <v>166</v>
      </c>
    </row>
    <row r="238" spans="1:12" s="28" customFormat="1" ht="26.4" x14ac:dyDescent="0.3">
      <c r="A238" s="13">
        <v>199</v>
      </c>
      <c r="B238" s="243"/>
      <c r="C238" s="1" t="s">
        <v>350</v>
      </c>
      <c r="D238" s="1" t="s">
        <v>345</v>
      </c>
      <c r="E238" s="1" t="s">
        <v>19</v>
      </c>
      <c r="F238" s="199">
        <v>166</v>
      </c>
      <c r="G238" s="199">
        <v>166</v>
      </c>
      <c r="H238" s="101">
        <v>0</v>
      </c>
      <c r="I238" s="101">
        <v>0</v>
      </c>
      <c r="J238" s="101">
        <v>0</v>
      </c>
      <c r="K238" s="16" t="s">
        <v>120</v>
      </c>
    </row>
    <row r="239" spans="1:12" s="28" customFormat="1" ht="26.4" x14ac:dyDescent="0.3">
      <c r="A239" s="13">
        <v>200</v>
      </c>
      <c r="B239" s="243"/>
      <c r="C239" s="1" t="s">
        <v>351</v>
      </c>
      <c r="D239" s="1" t="s">
        <v>352</v>
      </c>
      <c r="E239" s="1" t="s">
        <v>19</v>
      </c>
      <c r="F239" s="101">
        <v>48</v>
      </c>
      <c r="G239" s="101">
        <v>48</v>
      </c>
      <c r="H239" s="101">
        <v>0</v>
      </c>
      <c r="I239" s="101">
        <v>0</v>
      </c>
      <c r="J239" s="101">
        <v>0</v>
      </c>
      <c r="K239" s="16" t="s">
        <v>120</v>
      </c>
    </row>
    <row r="240" spans="1:12" s="28" customFormat="1" ht="26.4" x14ac:dyDescent="0.3">
      <c r="A240" s="13">
        <v>201</v>
      </c>
      <c r="B240" s="243"/>
      <c r="C240" s="1" t="s">
        <v>353</v>
      </c>
      <c r="D240" s="1" t="s">
        <v>354</v>
      </c>
      <c r="E240" s="1" t="s">
        <v>19</v>
      </c>
      <c r="F240" s="101">
        <v>20</v>
      </c>
      <c r="G240" s="101">
        <v>20</v>
      </c>
      <c r="H240" s="101">
        <v>0</v>
      </c>
      <c r="I240" s="101">
        <v>0</v>
      </c>
      <c r="J240" s="101">
        <v>0</v>
      </c>
      <c r="K240" s="16" t="s">
        <v>120</v>
      </c>
    </row>
    <row r="241" spans="1:11" s="28" customFormat="1" ht="26.4" x14ac:dyDescent="0.3">
      <c r="A241" s="13">
        <v>202</v>
      </c>
      <c r="B241" s="243"/>
      <c r="C241" s="1" t="s">
        <v>355</v>
      </c>
      <c r="D241" s="1" t="s">
        <v>356</v>
      </c>
      <c r="E241" s="1" t="s">
        <v>19</v>
      </c>
      <c r="F241" s="101">
        <v>25</v>
      </c>
      <c r="G241" s="101">
        <v>25</v>
      </c>
      <c r="H241" s="101">
        <v>0</v>
      </c>
      <c r="I241" s="101">
        <v>0</v>
      </c>
      <c r="J241" s="101">
        <v>0</v>
      </c>
      <c r="K241" s="16" t="s">
        <v>120</v>
      </c>
    </row>
    <row r="242" spans="1:11" s="28" customFormat="1" ht="26.4" x14ac:dyDescent="0.3">
      <c r="A242" s="13">
        <v>203</v>
      </c>
      <c r="B242" s="243"/>
      <c r="C242" s="1" t="s">
        <v>357</v>
      </c>
      <c r="D242" s="1" t="s">
        <v>358</v>
      </c>
      <c r="E242" s="1" t="s">
        <v>19</v>
      </c>
      <c r="F242" s="101">
        <v>525</v>
      </c>
      <c r="G242" s="101">
        <v>525</v>
      </c>
      <c r="H242" s="101">
        <v>0</v>
      </c>
      <c r="I242" s="101">
        <v>0</v>
      </c>
      <c r="J242" s="101">
        <v>0</v>
      </c>
      <c r="K242" s="16" t="s">
        <v>120</v>
      </c>
    </row>
    <row r="243" spans="1:11" s="28" customFormat="1" ht="26.4" x14ac:dyDescent="0.3">
      <c r="A243" s="13">
        <v>204</v>
      </c>
      <c r="B243" s="243"/>
      <c r="C243" s="1" t="s">
        <v>359</v>
      </c>
      <c r="D243" s="1" t="s">
        <v>358</v>
      </c>
      <c r="E243" s="1" t="s">
        <v>19</v>
      </c>
      <c r="F243" s="101">
        <v>180</v>
      </c>
      <c r="G243" s="101">
        <v>180</v>
      </c>
      <c r="H243" s="101">
        <v>0</v>
      </c>
      <c r="I243" s="101">
        <v>0</v>
      </c>
      <c r="J243" s="101">
        <v>0</v>
      </c>
      <c r="K243" s="16" t="s">
        <v>120</v>
      </c>
    </row>
    <row r="244" spans="1:11" s="28" customFormat="1" ht="26.4" x14ac:dyDescent="0.3">
      <c r="A244" s="13">
        <v>205</v>
      </c>
      <c r="B244" s="243"/>
      <c r="C244" s="1" t="s">
        <v>360</v>
      </c>
      <c r="D244" s="1" t="s">
        <v>361</v>
      </c>
      <c r="E244" s="1" t="s">
        <v>19</v>
      </c>
      <c r="F244" s="101">
        <v>70</v>
      </c>
      <c r="G244" s="101">
        <v>70</v>
      </c>
      <c r="H244" s="101">
        <v>0</v>
      </c>
      <c r="I244" s="101">
        <v>0</v>
      </c>
      <c r="J244" s="101">
        <v>0</v>
      </c>
      <c r="K244" s="16" t="s">
        <v>120</v>
      </c>
    </row>
    <row r="245" spans="1:11" s="28" customFormat="1" ht="26.4" x14ac:dyDescent="0.3">
      <c r="A245" s="13">
        <v>206</v>
      </c>
      <c r="B245" s="243"/>
      <c r="C245" s="1" t="s">
        <v>362</v>
      </c>
      <c r="D245" s="1" t="s">
        <v>363</v>
      </c>
      <c r="E245" s="1" t="s">
        <v>19</v>
      </c>
      <c r="F245" s="101">
        <v>60</v>
      </c>
      <c r="G245" s="101">
        <v>60</v>
      </c>
      <c r="H245" s="101">
        <v>0</v>
      </c>
      <c r="I245" s="101">
        <v>0</v>
      </c>
      <c r="J245" s="101">
        <v>0</v>
      </c>
      <c r="K245" s="16" t="s">
        <v>120</v>
      </c>
    </row>
    <row r="246" spans="1:11" s="28" customFormat="1" ht="26.4" x14ac:dyDescent="0.3">
      <c r="A246" s="13">
        <v>207</v>
      </c>
      <c r="B246" s="243"/>
      <c r="C246" s="1" t="s">
        <v>364</v>
      </c>
      <c r="D246" s="1" t="s">
        <v>365</v>
      </c>
      <c r="E246" s="1" t="s">
        <v>19</v>
      </c>
      <c r="F246" s="101">
        <v>994.83</v>
      </c>
      <c r="G246" s="101">
        <v>994.83</v>
      </c>
      <c r="H246" s="101">
        <v>0</v>
      </c>
      <c r="I246" s="101">
        <v>0</v>
      </c>
      <c r="J246" s="101">
        <v>0</v>
      </c>
      <c r="K246" s="16" t="s">
        <v>120</v>
      </c>
    </row>
    <row r="247" spans="1:11" s="28" customFormat="1" ht="26.4" x14ac:dyDescent="0.3">
      <c r="A247" s="13">
        <v>208</v>
      </c>
      <c r="B247" s="243"/>
      <c r="C247" s="1" t="s">
        <v>366</v>
      </c>
      <c r="D247" s="1" t="s">
        <v>367</v>
      </c>
      <c r="E247" s="1" t="s">
        <v>19</v>
      </c>
      <c r="F247" s="101">
        <v>265</v>
      </c>
      <c r="G247" s="101">
        <v>265</v>
      </c>
      <c r="H247" s="101">
        <v>0</v>
      </c>
      <c r="I247" s="101">
        <v>0</v>
      </c>
      <c r="J247" s="101">
        <v>0</v>
      </c>
      <c r="K247" s="16" t="s">
        <v>120</v>
      </c>
    </row>
    <row r="248" spans="1:11" s="28" customFormat="1" ht="26.4" x14ac:dyDescent="0.3">
      <c r="A248" s="13">
        <v>209</v>
      </c>
      <c r="B248" s="243"/>
      <c r="C248" s="1" t="s">
        <v>368</v>
      </c>
      <c r="D248" s="1" t="s">
        <v>369</v>
      </c>
      <c r="E248" s="1" t="s">
        <v>19</v>
      </c>
      <c r="F248" s="101">
        <v>94</v>
      </c>
      <c r="G248" s="101">
        <v>94</v>
      </c>
      <c r="H248" s="101">
        <v>0</v>
      </c>
      <c r="I248" s="101">
        <v>0</v>
      </c>
      <c r="J248" s="101">
        <v>0</v>
      </c>
      <c r="K248" s="16" t="s">
        <v>120</v>
      </c>
    </row>
    <row r="249" spans="1:11" s="28" customFormat="1" ht="26.4" x14ac:dyDescent="0.3">
      <c r="A249" s="13">
        <v>210</v>
      </c>
      <c r="B249" s="243"/>
      <c r="C249" s="1" t="s">
        <v>370</v>
      </c>
      <c r="D249" s="1" t="s">
        <v>371</v>
      </c>
      <c r="E249" s="1" t="s">
        <v>19</v>
      </c>
      <c r="F249" s="101">
        <v>160</v>
      </c>
      <c r="G249" s="101">
        <v>160</v>
      </c>
      <c r="H249" s="101">
        <v>0</v>
      </c>
      <c r="I249" s="101">
        <v>0</v>
      </c>
      <c r="J249" s="101">
        <v>0</v>
      </c>
      <c r="K249" s="16" t="s">
        <v>120</v>
      </c>
    </row>
    <row r="250" spans="1:11" s="28" customFormat="1" ht="26.4" x14ac:dyDescent="0.3">
      <c r="A250" s="13">
        <v>211</v>
      </c>
      <c r="B250" s="243"/>
      <c r="C250" s="1" t="s">
        <v>372</v>
      </c>
      <c r="D250" s="1" t="s">
        <v>373</v>
      </c>
      <c r="E250" s="1" t="s">
        <v>19</v>
      </c>
      <c r="F250" s="101">
        <v>250</v>
      </c>
      <c r="G250" s="101">
        <v>250</v>
      </c>
      <c r="H250" s="101">
        <v>0</v>
      </c>
      <c r="I250" s="101">
        <v>0</v>
      </c>
      <c r="J250" s="101">
        <v>0</v>
      </c>
      <c r="K250" s="16" t="s">
        <v>120</v>
      </c>
    </row>
    <row r="251" spans="1:11" s="28" customFormat="1" ht="26.4" x14ac:dyDescent="0.3">
      <c r="A251" s="13">
        <v>212</v>
      </c>
      <c r="B251" s="243"/>
      <c r="C251" s="1" t="s">
        <v>374</v>
      </c>
      <c r="D251" s="1" t="s">
        <v>375</v>
      </c>
      <c r="E251" s="1" t="s">
        <v>19</v>
      </c>
      <c r="F251" s="101">
        <v>331.5</v>
      </c>
      <c r="G251" s="101">
        <v>331.5</v>
      </c>
      <c r="H251" s="101">
        <v>0</v>
      </c>
      <c r="I251" s="101">
        <v>0</v>
      </c>
      <c r="J251" s="101">
        <v>0</v>
      </c>
      <c r="K251" s="16" t="s">
        <v>120</v>
      </c>
    </row>
    <row r="252" spans="1:11" s="28" customFormat="1" ht="26.4" x14ac:dyDescent="0.3">
      <c r="A252" s="13">
        <v>213</v>
      </c>
      <c r="B252" s="243"/>
      <c r="C252" s="1" t="s">
        <v>376</v>
      </c>
      <c r="D252" s="1" t="s">
        <v>377</v>
      </c>
      <c r="E252" s="1" t="s">
        <v>19</v>
      </c>
      <c r="F252" s="101">
        <v>250</v>
      </c>
      <c r="G252" s="101">
        <v>250</v>
      </c>
      <c r="H252" s="101">
        <v>0</v>
      </c>
      <c r="I252" s="101">
        <v>0</v>
      </c>
      <c r="J252" s="101">
        <v>0</v>
      </c>
      <c r="K252" s="16" t="s">
        <v>120</v>
      </c>
    </row>
    <row r="253" spans="1:11" s="28" customFormat="1" ht="66" x14ac:dyDescent="0.3">
      <c r="A253" s="13">
        <v>214</v>
      </c>
      <c r="B253" s="243"/>
      <c r="C253" s="1" t="s">
        <v>378</v>
      </c>
      <c r="D253" s="1" t="s">
        <v>379</v>
      </c>
      <c r="E253" s="1" t="s">
        <v>19</v>
      </c>
      <c r="F253" s="101">
        <f>H253+I253</f>
        <v>465.92</v>
      </c>
      <c r="G253" s="101">
        <v>0</v>
      </c>
      <c r="H253" s="101">
        <v>222.83</v>
      </c>
      <c r="I253" s="101">
        <v>243.09</v>
      </c>
      <c r="J253" s="101">
        <v>0</v>
      </c>
      <c r="K253" s="16" t="s">
        <v>328</v>
      </c>
    </row>
    <row r="254" spans="1:11" s="28" customFormat="1" ht="26.4" x14ac:dyDescent="0.3">
      <c r="A254" s="13">
        <v>215</v>
      </c>
      <c r="B254" s="243"/>
      <c r="C254" s="1" t="s">
        <v>380</v>
      </c>
      <c r="D254" s="1" t="s">
        <v>381</v>
      </c>
      <c r="E254" s="1" t="s">
        <v>19</v>
      </c>
      <c r="F254" s="101">
        <f t="shared" ref="F254:F265" si="40">H254+I254</f>
        <v>320.83</v>
      </c>
      <c r="G254" s="101">
        <v>0</v>
      </c>
      <c r="H254" s="101">
        <v>153.44</v>
      </c>
      <c r="I254" s="101">
        <v>167.39</v>
      </c>
      <c r="J254" s="101">
        <v>0</v>
      </c>
      <c r="K254" s="16" t="s">
        <v>328</v>
      </c>
    </row>
    <row r="255" spans="1:11" s="28" customFormat="1" ht="26.4" x14ac:dyDescent="0.3">
      <c r="A255" s="13">
        <v>216</v>
      </c>
      <c r="B255" s="243"/>
      <c r="C255" s="1" t="s">
        <v>382</v>
      </c>
      <c r="D255" s="1" t="s">
        <v>165</v>
      </c>
      <c r="E255" s="1" t="s">
        <v>19</v>
      </c>
      <c r="F255" s="101">
        <f t="shared" si="40"/>
        <v>4641.8099999999995</v>
      </c>
      <c r="G255" s="101">
        <v>0</v>
      </c>
      <c r="H255" s="101">
        <v>2220</v>
      </c>
      <c r="I255" s="101">
        <v>2421.81</v>
      </c>
      <c r="J255" s="101">
        <v>0</v>
      </c>
      <c r="K255" s="16" t="s">
        <v>328</v>
      </c>
    </row>
    <row r="256" spans="1:11" s="28" customFormat="1" ht="39.6" x14ac:dyDescent="0.3">
      <c r="A256" s="13">
        <v>217</v>
      </c>
      <c r="B256" s="243"/>
      <c r="C256" s="1" t="s">
        <v>383</v>
      </c>
      <c r="D256" s="1" t="s">
        <v>384</v>
      </c>
      <c r="E256" s="1" t="s">
        <v>19</v>
      </c>
      <c r="F256" s="101">
        <f t="shared" si="40"/>
        <v>71.25</v>
      </c>
      <c r="G256" s="101">
        <v>0</v>
      </c>
      <c r="H256" s="101">
        <v>34.08</v>
      </c>
      <c r="I256" s="101">
        <v>37.17</v>
      </c>
      <c r="J256" s="101">
        <v>0</v>
      </c>
      <c r="K256" s="16" t="s">
        <v>328</v>
      </c>
    </row>
    <row r="257" spans="1:12" s="28" customFormat="1" ht="39.6" x14ac:dyDescent="0.3">
      <c r="A257" s="53">
        <v>218</v>
      </c>
      <c r="B257" s="243"/>
      <c r="C257" s="1" t="s">
        <v>385</v>
      </c>
      <c r="D257" s="1" t="s">
        <v>386</v>
      </c>
      <c r="E257" s="1" t="s">
        <v>19</v>
      </c>
      <c r="F257" s="101">
        <f t="shared" si="40"/>
        <v>180.6</v>
      </c>
      <c r="G257" s="101">
        <v>0</v>
      </c>
      <c r="H257" s="101">
        <v>86.41</v>
      </c>
      <c r="I257" s="101">
        <v>94.19</v>
      </c>
      <c r="J257" s="101">
        <v>0</v>
      </c>
      <c r="K257" s="16" t="s">
        <v>328</v>
      </c>
    </row>
    <row r="258" spans="1:12" s="28" customFormat="1" ht="39.6" x14ac:dyDescent="0.3">
      <c r="A258" s="53">
        <v>219</v>
      </c>
      <c r="B258" s="243"/>
      <c r="C258" s="1" t="s">
        <v>387</v>
      </c>
      <c r="D258" s="1" t="s">
        <v>313</v>
      </c>
      <c r="E258" s="1" t="s">
        <v>19</v>
      </c>
      <c r="F258" s="101">
        <f t="shared" si="40"/>
        <v>1136.49</v>
      </c>
      <c r="G258" s="101">
        <v>0</v>
      </c>
      <c r="H258" s="101">
        <v>543.41</v>
      </c>
      <c r="I258" s="101">
        <v>593.08000000000004</v>
      </c>
      <c r="J258" s="101">
        <v>0</v>
      </c>
      <c r="K258" s="16" t="s">
        <v>328</v>
      </c>
    </row>
    <row r="259" spans="1:12" s="28" customFormat="1" ht="31.5" customHeight="1" x14ac:dyDescent="0.3">
      <c r="A259" s="53">
        <v>220</v>
      </c>
      <c r="B259" s="243"/>
      <c r="C259" s="1" t="s">
        <v>388</v>
      </c>
      <c r="D259" s="1" t="s">
        <v>389</v>
      </c>
      <c r="E259" s="1" t="s">
        <v>19</v>
      </c>
      <c r="F259" s="101">
        <f t="shared" si="40"/>
        <v>35.99</v>
      </c>
      <c r="G259" s="101">
        <v>0</v>
      </c>
      <c r="H259" s="101">
        <v>17.21</v>
      </c>
      <c r="I259" s="101">
        <v>18.78</v>
      </c>
      <c r="J259" s="101">
        <v>0</v>
      </c>
      <c r="K259" s="16" t="s">
        <v>328</v>
      </c>
    </row>
    <row r="260" spans="1:12" s="28" customFormat="1" ht="26.4" x14ac:dyDescent="0.3">
      <c r="A260" s="53">
        <v>221</v>
      </c>
      <c r="B260" s="243"/>
      <c r="C260" s="1" t="s">
        <v>390</v>
      </c>
      <c r="D260" s="1" t="s">
        <v>391</v>
      </c>
      <c r="E260" s="1" t="s">
        <v>19</v>
      </c>
      <c r="F260" s="101">
        <f t="shared" si="40"/>
        <v>524.76</v>
      </c>
      <c r="G260" s="101">
        <v>0</v>
      </c>
      <c r="H260" s="101">
        <v>238.53</v>
      </c>
      <c r="I260" s="101">
        <v>286.23</v>
      </c>
      <c r="J260" s="101">
        <v>0</v>
      </c>
      <c r="K260" s="16" t="s">
        <v>328</v>
      </c>
    </row>
    <row r="261" spans="1:12" s="28" customFormat="1" ht="26.4" x14ac:dyDescent="0.3">
      <c r="A261" s="53">
        <v>222</v>
      </c>
      <c r="B261" s="243"/>
      <c r="C261" s="1" t="s">
        <v>392</v>
      </c>
      <c r="D261" s="1" t="s">
        <v>393</v>
      </c>
      <c r="E261" s="1" t="s">
        <v>19</v>
      </c>
      <c r="F261" s="101">
        <f t="shared" si="40"/>
        <v>944.28</v>
      </c>
      <c r="G261" s="101">
        <v>0</v>
      </c>
      <c r="H261" s="101">
        <v>444.37</v>
      </c>
      <c r="I261" s="101">
        <v>499.91</v>
      </c>
      <c r="J261" s="101">
        <v>0</v>
      </c>
      <c r="K261" s="16" t="s">
        <v>328</v>
      </c>
    </row>
    <row r="262" spans="1:12" s="28" customFormat="1" ht="26.4" x14ac:dyDescent="0.3">
      <c r="A262" s="53">
        <v>223</v>
      </c>
      <c r="B262" s="243"/>
      <c r="C262" s="1" t="s">
        <v>394</v>
      </c>
      <c r="D262" s="1" t="s">
        <v>137</v>
      </c>
      <c r="E262" s="1" t="s">
        <v>19</v>
      </c>
      <c r="F262" s="101">
        <f t="shared" si="40"/>
        <v>1491.03</v>
      </c>
      <c r="G262" s="101">
        <v>0</v>
      </c>
      <c r="H262" s="101">
        <v>724.79</v>
      </c>
      <c r="I262" s="101">
        <v>766.24</v>
      </c>
      <c r="J262" s="101">
        <v>0</v>
      </c>
      <c r="K262" s="16" t="s">
        <v>328</v>
      </c>
    </row>
    <row r="263" spans="1:12" s="28" customFormat="1" ht="26.4" x14ac:dyDescent="0.3">
      <c r="A263" s="53">
        <v>224</v>
      </c>
      <c r="B263" s="243"/>
      <c r="C263" s="1" t="s">
        <v>395</v>
      </c>
      <c r="D263" s="1" t="s">
        <v>396</v>
      </c>
      <c r="E263" s="1" t="s">
        <v>19</v>
      </c>
      <c r="F263" s="101">
        <f t="shared" si="40"/>
        <v>62.48</v>
      </c>
      <c r="G263" s="101">
        <v>0</v>
      </c>
      <c r="H263" s="101">
        <v>62.48</v>
      </c>
      <c r="I263" s="101">
        <v>0</v>
      </c>
      <c r="J263" s="101">
        <v>0</v>
      </c>
      <c r="K263" s="16" t="s">
        <v>328</v>
      </c>
    </row>
    <row r="264" spans="1:12" s="28" customFormat="1" ht="26.4" x14ac:dyDescent="0.3">
      <c r="A264" s="53">
        <v>225</v>
      </c>
      <c r="B264" s="243"/>
      <c r="C264" s="1" t="s">
        <v>397</v>
      </c>
      <c r="D264" s="1" t="s">
        <v>398</v>
      </c>
      <c r="E264" s="1" t="s">
        <v>19</v>
      </c>
      <c r="F264" s="101">
        <f t="shared" si="40"/>
        <v>18</v>
      </c>
      <c r="G264" s="101">
        <v>0</v>
      </c>
      <c r="H264" s="101">
        <v>18</v>
      </c>
      <c r="I264" s="101">
        <v>0</v>
      </c>
      <c r="J264" s="101">
        <v>0</v>
      </c>
      <c r="K264" s="16" t="s">
        <v>328</v>
      </c>
    </row>
    <row r="265" spans="1:12" s="28" customFormat="1" ht="26.4" x14ac:dyDescent="0.3">
      <c r="A265" s="53">
        <v>226</v>
      </c>
      <c r="B265" s="243"/>
      <c r="C265" s="1" t="s">
        <v>399</v>
      </c>
      <c r="D265" s="1" t="s">
        <v>324</v>
      </c>
      <c r="E265" s="1" t="s">
        <v>19</v>
      </c>
      <c r="F265" s="101">
        <f t="shared" si="40"/>
        <v>29.75</v>
      </c>
      <c r="G265" s="101">
        <v>0</v>
      </c>
      <c r="H265" s="101">
        <v>29.75</v>
      </c>
      <c r="I265" s="101">
        <v>0</v>
      </c>
      <c r="J265" s="101">
        <v>0</v>
      </c>
      <c r="K265" s="16" t="s">
        <v>328</v>
      </c>
    </row>
    <row r="266" spans="1:12" s="28" customFormat="1" ht="26.4" x14ac:dyDescent="0.3">
      <c r="A266" s="53">
        <v>227</v>
      </c>
      <c r="B266" s="243"/>
      <c r="C266" s="1" t="s">
        <v>400</v>
      </c>
      <c r="D266" s="1" t="s">
        <v>401</v>
      </c>
      <c r="E266" s="1" t="s">
        <v>19</v>
      </c>
      <c r="F266" s="101">
        <v>35</v>
      </c>
      <c r="G266" s="101">
        <v>0</v>
      </c>
      <c r="H266" s="101">
        <v>35</v>
      </c>
      <c r="I266" s="101">
        <v>0</v>
      </c>
      <c r="J266" s="101">
        <v>0</v>
      </c>
      <c r="K266" s="16" t="s">
        <v>328</v>
      </c>
    </row>
    <row r="267" spans="1:12" s="28" customFormat="1" ht="39.6" x14ac:dyDescent="0.3">
      <c r="A267" s="53">
        <v>228</v>
      </c>
      <c r="B267" s="243"/>
      <c r="C267" s="1" t="s">
        <v>402</v>
      </c>
      <c r="D267" s="1" t="s">
        <v>403</v>
      </c>
      <c r="E267" s="1" t="s">
        <v>19</v>
      </c>
      <c r="F267" s="101">
        <v>350</v>
      </c>
      <c r="G267" s="101">
        <v>0</v>
      </c>
      <c r="H267" s="101">
        <v>350</v>
      </c>
      <c r="I267" s="101">
        <v>0</v>
      </c>
      <c r="J267" s="101">
        <v>0</v>
      </c>
      <c r="K267" s="16" t="s">
        <v>328</v>
      </c>
    </row>
    <row r="268" spans="1:12" s="28" customFormat="1" ht="26.4" x14ac:dyDescent="0.3">
      <c r="A268" s="53">
        <v>229</v>
      </c>
      <c r="B268" s="243"/>
      <c r="C268" s="1" t="s">
        <v>404</v>
      </c>
      <c r="D268" s="1" t="s">
        <v>405</v>
      </c>
      <c r="E268" s="1" t="s">
        <v>19</v>
      </c>
      <c r="F268" s="101">
        <v>135</v>
      </c>
      <c r="G268" s="101">
        <v>0</v>
      </c>
      <c r="H268" s="101">
        <v>135</v>
      </c>
      <c r="I268" s="101">
        <v>0</v>
      </c>
      <c r="J268" s="101">
        <v>0</v>
      </c>
      <c r="K268" s="16" t="s">
        <v>328</v>
      </c>
    </row>
    <row r="269" spans="1:12" s="28" customFormat="1" ht="26.4" x14ac:dyDescent="0.3">
      <c r="A269" s="53">
        <v>230</v>
      </c>
      <c r="B269" s="243"/>
      <c r="C269" s="1" t="s">
        <v>406</v>
      </c>
      <c r="D269" s="1" t="s">
        <v>345</v>
      </c>
      <c r="E269" s="1" t="s">
        <v>19</v>
      </c>
      <c r="F269" s="101">
        <v>163.52000000000001</v>
      </c>
      <c r="G269" s="101">
        <v>0</v>
      </c>
      <c r="H269" s="101">
        <v>163.52000000000001</v>
      </c>
      <c r="I269" s="101">
        <v>0</v>
      </c>
      <c r="J269" s="101">
        <v>0</v>
      </c>
      <c r="K269" s="16" t="s">
        <v>328</v>
      </c>
    </row>
    <row r="270" spans="1:12" s="28" customFormat="1" ht="26.4" x14ac:dyDescent="0.3">
      <c r="A270" s="53">
        <v>231</v>
      </c>
      <c r="B270" s="243"/>
      <c r="C270" s="1" t="s">
        <v>407</v>
      </c>
      <c r="D270" s="1" t="s">
        <v>408</v>
      </c>
      <c r="E270" s="1" t="s">
        <v>19</v>
      </c>
      <c r="F270" s="101">
        <v>100.75</v>
      </c>
      <c r="G270" s="101">
        <v>0</v>
      </c>
      <c r="H270" s="101">
        <v>100.75</v>
      </c>
      <c r="I270" s="101">
        <v>0</v>
      </c>
      <c r="J270" s="101">
        <v>0</v>
      </c>
      <c r="K270" s="16" t="s">
        <v>328</v>
      </c>
    </row>
    <row r="271" spans="1:12" s="28" customFormat="1" ht="26.4" x14ac:dyDescent="0.3">
      <c r="A271" s="53">
        <v>232</v>
      </c>
      <c r="B271" s="244"/>
      <c r="C271" s="1" t="s">
        <v>409</v>
      </c>
      <c r="D271" s="1" t="s">
        <v>410</v>
      </c>
      <c r="E271" s="1" t="s">
        <v>19</v>
      </c>
      <c r="F271" s="101">
        <v>60</v>
      </c>
      <c r="G271" s="101">
        <v>0</v>
      </c>
      <c r="H271" s="101">
        <v>60</v>
      </c>
      <c r="I271" s="101">
        <v>0</v>
      </c>
      <c r="J271" s="101">
        <v>0</v>
      </c>
      <c r="K271" s="16" t="s">
        <v>121</v>
      </c>
    </row>
    <row r="272" spans="1:12" s="32" customFormat="1" ht="28.8" customHeight="1" x14ac:dyDescent="0.3">
      <c r="A272" s="250" t="s">
        <v>420</v>
      </c>
      <c r="B272" s="251"/>
      <c r="C272" s="252"/>
      <c r="D272" s="34"/>
      <c r="E272" s="34"/>
      <c r="F272" s="134">
        <f>SUM(F233:F271)</f>
        <v>14484.04</v>
      </c>
      <c r="G272" s="134">
        <f t="shared" ref="G272:I272" si="41">SUM(G233:G271)</f>
        <v>3716.58</v>
      </c>
      <c r="H272" s="134">
        <f t="shared" si="41"/>
        <v>5639.57</v>
      </c>
      <c r="I272" s="134">
        <f t="shared" si="41"/>
        <v>5127.8900000000003</v>
      </c>
      <c r="J272" s="134">
        <f t="shared" ref="J272" si="42">SUM(J233:J271)</f>
        <v>0</v>
      </c>
      <c r="K272" s="22"/>
      <c r="L272" s="58"/>
    </row>
    <row r="273" spans="1:11" s="28" customFormat="1" ht="26.4" x14ac:dyDescent="0.3">
      <c r="A273" s="13">
        <v>233</v>
      </c>
      <c r="B273" s="242" t="s">
        <v>339</v>
      </c>
      <c r="C273" s="1" t="s">
        <v>411</v>
      </c>
      <c r="D273" s="42" t="s">
        <v>398</v>
      </c>
      <c r="E273" s="1" t="s">
        <v>19</v>
      </c>
      <c r="F273" s="109">
        <v>18</v>
      </c>
      <c r="G273" s="109">
        <v>0</v>
      </c>
      <c r="H273" s="101">
        <v>0</v>
      </c>
      <c r="I273" s="101">
        <v>18</v>
      </c>
      <c r="J273" s="101">
        <v>0</v>
      </c>
      <c r="K273" s="16" t="s">
        <v>332</v>
      </c>
    </row>
    <row r="274" spans="1:11" s="28" customFormat="1" ht="26.4" x14ac:dyDescent="0.3">
      <c r="A274" s="13">
        <v>234</v>
      </c>
      <c r="B274" s="243"/>
      <c r="C274" s="1" t="s">
        <v>412</v>
      </c>
      <c r="D274" s="42" t="s">
        <v>324</v>
      </c>
      <c r="E274" s="1" t="s">
        <v>19</v>
      </c>
      <c r="F274" s="109">
        <v>29.75</v>
      </c>
      <c r="G274" s="109">
        <v>0</v>
      </c>
      <c r="H274" s="101">
        <v>0</v>
      </c>
      <c r="I274" s="101">
        <v>29.75</v>
      </c>
      <c r="J274" s="101">
        <v>0</v>
      </c>
      <c r="K274" s="16" t="s">
        <v>332</v>
      </c>
    </row>
    <row r="275" spans="1:11" s="28" customFormat="1" ht="26.4" x14ac:dyDescent="0.3">
      <c r="A275" s="53">
        <v>235</v>
      </c>
      <c r="B275" s="243"/>
      <c r="C275" s="1" t="s">
        <v>413</v>
      </c>
      <c r="D275" s="13" t="s">
        <v>401</v>
      </c>
      <c r="E275" s="1" t="s">
        <v>19</v>
      </c>
      <c r="F275" s="101">
        <v>35</v>
      </c>
      <c r="G275" s="109">
        <v>0</v>
      </c>
      <c r="H275" s="101">
        <v>0</v>
      </c>
      <c r="I275" s="101">
        <v>35</v>
      </c>
      <c r="J275" s="101">
        <v>0</v>
      </c>
      <c r="K275" s="16" t="s">
        <v>332</v>
      </c>
    </row>
    <row r="276" spans="1:11" s="28" customFormat="1" ht="39.6" x14ac:dyDescent="0.3">
      <c r="A276" s="53">
        <v>236</v>
      </c>
      <c r="B276" s="243"/>
      <c r="C276" s="1" t="s">
        <v>414</v>
      </c>
      <c r="D276" s="42" t="s">
        <v>403</v>
      </c>
      <c r="E276" s="1" t="s">
        <v>19</v>
      </c>
      <c r="F276" s="109">
        <v>350</v>
      </c>
      <c r="G276" s="109">
        <v>0</v>
      </c>
      <c r="H276" s="101">
        <v>0</v>
      </c>
      <c r="I276" s="101">
        <v>350</v>
      </c>
      <c r="J276" s="101">
        <v>0</v>
      </c>
      <c r="K276" s="16" t="s">
        <v>332</v>
      </c>
    </row>
    <row r="277" spans="1:11" s="28" customFormat="1" ht="26.4" x14ac:dyDescent="0.3">
      <c r="A277" s="53">
        <v>237</v>
      </c>
      <c r="B277" s="243"/>
      <c r="C277" s="1" t="s">
        <v>415</v>
      </c>
      <c r="D277" s="42" t="s">
        <v>405</v>
      </c>
      <c r="E277" s="1" t="s">
        <v>19</v>
      </c>
      <c r="F277" s="109">
        <v>135</v>
      </c>
      <c r="G277" s="109">
        <v>0</v>
      </c>
      <c r="H277" s="101">
        <v>0</v>
      </c>
      <c r="I277" s="101">
        <v>135</v>
      </c>
      <c r="J277" s="101">
        <v>0</v>
      </c>
      <c r="K277" s="16" t="s">
        <v>332</v>
      </c>
    </row>
    <row r="278" spans="1:11" s="28" customFormat="1" ht="26.4" x14ac:dyDescent="0.3">
      <c r="A278" s="53">
        <v>238</v>
      </c>
      <c r="B278" s="243"/>
      <c r="C278" s="1" t="s">
        <v>416</v>
      </c>
      <c r="D278" s="13" t="s">
        <v>345</v>
      </c>
      <c r="E278" s="1" t="s">
        <v>19</v>
      </c>
      <c r="F278" s="101">
        <v>163.52000000000001</v>
      </c>
      <c r="G278" s="109">
        <v>0</v>
      </c>
      <c r="H278" s="101">
        <v>0</v>
      </c>
      <c r="I278" s="101">
        <v>163.52000000000001</v>
      </c>
      <c r="J278" s="101">
        <v>0</v>
      </c>
      <c r="K278" s="16" t="s">
        <v>332</v>
      </c>
    </row>
    <row r="279" spans="1:11" s="28" customFormat="1" ht="26.4" x14ac:dyDescent="0.3">
      <c r="A279" s="53">
        <v>239</v>
      </c>
      <c r="B279" s="243"/>
      <c r="C279" s="1" t="s">
        <v>417</v>
      </c>
      <c r="D279" s="13" t="s">
        <v>408</v>
      </c>
      <c r="E279" s="1" t="s">
        <v>19</v>
      </c>
      <c r="F279" s="101">
        <v>100.75</v>
      </c>
      <c r="G279" s="109">
        <v>0</v>
      </c>
      <c r="H279" s="101">
        <v>0</v>
      </c>
      <c r="I279" s="101">
        <v>100.75</v>
      </c>
      <c r="J279" s="101">
        <v>0</v>
      </c>
      <c r="K279" s="16" t="s">
        <v>332</v>
      </c>
    </row>
    <row r="280" spans="1:11" s="28" customFormat="1" ht="26.4" x14ac:dyDescent="0.3">
      <c r="A280" s="53">
        <v>240</v>
      </c>
      <c r="B280" s="243"/>
      <c r="C280" s="1" t="s">
        <v>418</v>
      </c>
      <c r="D280" s="13" t="s">
        <v>396</v>
      </c>
      <c r="E280" s="1" t="s">
        <v>19</v>
      </c>
      <c r="F280" s="101">
        <v>62.48</v>
      </c>
      <c r="G280" s="109">
        <v>0</v>
      </c>
      <c r="H280" s="101">
        <v>0</v>
      </c>
      <c r="I280" s="101">
        <v>62.48</v>
      </c>
      <c r="J280" s="101">
        <v>0</v>
      </c>
      <c r="K280" s="16" t="s">
        <v>332</v>
      </c>
    </row>
    <row r="281" spans="1:11" s="28" customFormat="1" ht="26.4" x14ac:dyDescent="0.3">
      <c r="A281" s="53">
        <v>241</v>
      </c>
      <c r="B281" s="244"/>
      <c r="C281" s="1" t="s">
        <v>419</v>
      </c>
      <c r="D281" s="13" t="s">
        <v>410</v>
      </c>
      <c r="E281" s="1" t="s">
        <v>19</v>
      </c>
      <c r="F281" s="101">
        <v>60</v>
      </c>
      <c r="G281" s="109">
        <v>0</v>
      </c>
      <c r="H281" s="101">
        <v>0</v>
      </c>
      <c r="I281" s="101">
        <v>60</v>
      </c>
      <c r="J281" s="101">
        <v>0</v>
      </c>
      <c r="K281" s="16" t="s">
        <v>332</v>
      </c>
    </row>
    <row r="282" spans="1:11" s="32" customFormat="1" ht="27" customHeight="1" x14ac:dyDescent="0.3">
      <c r="A282" s="240" t="s">
        <v>421</v>
      </c>
      <c r="B282" s="240"/>
      <c r="C282" s="240"/>
      <c r="D282" s="31"/>
      <c r="E282" s="31"/>
      <c r="F282" s="134">
        <f>SUM(F273:F281)</f>
        <v>954.5</v>
      </c>
      <c r="G282" s="134">
        <f t="shared" ref="G282:J282" si="43">SUM(G273:G281)</f>
        <v>0</v>
      </c>
      <c r="H282" s="134">
        <f t="shared" si="43"/>
        <v>0</v>
      </c>
      <c r="I282" s="134">
        <f t="shared" si="43"/>
        <v>954.5</v>
      </c>
      <c r="J282" s="134">
        <f t="shared" si="43"/>
        <v>0</v>
      </c>
      <c r="K282" s="31"/>
    </row>
    <row r="283" spans="1:11" s="28" customFormat="1" ht="33" customHeight="1" x14ac:dyDescent="0.3">
      <c r="A283" s="43">
        <v>242</v>
      </c>
      <c r="B283" s="242" t="s">
        <v>422</v>
      </c>
      <c r="C283" s="14" t="s">
        <v>423</v>
      </c>
      <c r="D283" s="1" t="s">
        <v>424</v>
      </c>
      <c r="E283" s="1" t="s">
        <v>19</v>
      </c>
      <c r="F283" s="193">
        <v>3310.28</v>
      </c>
      <c r="G283" s="193">
        <v>3310.28</v>
      </c>
      <c r="H283" s="101">
        <v>0</v>
      </c>
      <c r="I283" s="101">
        <v>0</v>
      </c>
      <c r="J283" s="101">
        <v>0</v>
      </c>
      <c r="K283" s="16" t="s">
        <v>185</v>
      </c>
    </row>
    <row r="284" spans="1:11" s="28" customFormat="1" ht="31.8" customHeight="1" x14ac:dyDescent="0.3">
      <c r="A284" s="43">
        <v>243</v>
      </c>
      <c r="B284" s="243"/>
      <c r="C284" s="14" t="s">
        <v>425</v>
      </c>
      <c r="D284" s="1" t="s">
        <v>137</v>
      </c>
      <c r="E284" s="1" t="s">
        <v>19</v>
      </c>
      <c r="F284" s="193">
        <v>1520.64</v>
      </c>
      <c r="G284" s="193">
        <v>1520.64</v>
      </c>
      <c r="H284" s="101">
        <v>0</v>
      </c>
      <c r="I284" s="101">
        <v>0</v>
      </c>
      <c r="J284" s="101">
        <v>0</v>
      </c>
      <c r="K284" s="16" t="s">
        <v>185</v>
      </c>
    </row>
    <row r="285" spans="1:11" s="28" customFormat="1" ht="26.4" customHeight="1" x14ac:dyDescent="0.3">
      <c r="A285" s="55">
        <v>244</v>
      </c>
      <c r="B285" s="243"/>
      <c r="C285" s="14" t="s">
        <v>426</v>
      </c>
      <c r="D285" s="1" t="s">
        <v>427</v>
      </c>
      <c r="E285" s="1" t="s">
        <v>19</v>
      </c>
      <c r="F285" s="193">
        <v>348.96</v>
      </c>
      <c r="G285" s="193">
        <v>348.96</v>
      </c>
      <c r="H285" s="101">
        <v>0</v>
      </c>
      <c r="I285" s="101">
        <v>0</v>
      </c>
      <c r="J285" s="101">
        <v>0</v>
      </c>
      <c r="K285" s="16" t="s">
        <v>185</v>
      </c>
    </row>
    <row r="286" spans="1:11" s="28" customFormat="1" ht="33" customHeight="1" x14ac:dyDescent="0.3">
      <c r="A286" s="55">
        <v>245</v>
      </c>
      <c r="B286" s="243"/>
      <c r="C286" s="14" t="s">
        <v>428</v>
      </c>
      <c r="D286" s="14" t="s">
        <v>429</v>
      </c>
      <c r="E286" s="1" t="s">
        <v>19</v>
      </c>
      <c r="F286" s="193">
        <v>324.07</v>
      </c>
      <c r="G286" s="193">
        <v>324.07</v>
      </c>
      <c r="H286" s="101">
        <v>0</v>
      </c>
      <c r="I286" s="101">
        <v>0</v>
      </c>
      <c r="J286" s="101">
        <v>0</v>
      </c>
      <c r="K286" s="16" t="s">
        <v>185</v>
      </c>
    </row>
    <row r="287" spans="1:11" s="28" customFormat="1" ht="31.8" customHeight="1" x14ac:dyDescent="0.3">
      <c r="A287" s="55">
        <v>246</v>
      </c>
      <c r="B287" s="243"/>
      <c r="C287" s="14" t="s">
        <v>430</v>
      </c>
      <c r="D287" s="14" t="s">
        <v>431</v>
      </c>
      <c r="E287" s="1" t="s">
        <v>19</v>
      </c>
      <c r="F287" s="193">
        <v>188.93</v>
      </c>
      <c r="G287" s="193">
        <v>188.93</v>
      </c>
      <c r="H287" s="101">
        <v>0</v>
      </c>
      <c r="I287" s="101">
        <v>0</v>
      </c>
      <c r="J287" s="101">
        <v>0</v>
      </c>
      <c r="K287" s="16" t="s">
        <v>185</v>
      </c>
    </row>
    <row r="288" spans="1:11" s="28" customFormat="1" ht="38.4" customHeight="1" x14ac:dyDescent="0.3">
      <c r="A288" s="55">
        <v>247</v>
      </c>
      <c r="B288" s="243"/>
      <c r="C288" s="14" t="s">
        <v>432</v>
      </c>
      <c r="D288" s="14" t="s">
        <v>313</v>
      </c>
      <c r="E288" s="1" t="s">
        <v>19</v>
      </c>
      <c r="F288" s="193">
        <v>173.63</v>
      </c>
      <c r="G288" s="193">
        <v>173.63</v>
      </c>
      <c r="H288" s="101">
        <v>0</v>
      </c>
      <c r="I288" s="101">
        <v>0</v>
      </c>
      <c r="J288" s="101">
        <v>0</v>
      </c>
      <c r="K288" s="16" t="s">
        <v>185</v>
      </c>
    </row>
    <row r="289" spans="1:11" s="28" customFormat="1" ht="31.2" customHeight="1" x14ac:dyDescent="0.3">
      <c r="A289" s="55">
        <v>248</v>
      </c>
      <c r="B289" s="243"/>
      <c r="C289" s="14" t="s">
        <v>433</v>
      </c>
      <c r="D289" s="14" t="s">
        <v>434</v>
      </c>
      <c r="E289" s="1" t="s">
        <v>19</v>
      </c>
      <c r="F289" s="193">
        <v>153.22999999999999</v>
      </c>
      <c r="G289" s="193">
        <v>153.22999999999999</v>
      </c>
      <c r="H289" s="101">
        <v>0</v>
      </c>
      <c r="I289" s="101">
        <v>0</v>
      </c>
      <c r="J289" s="101">
        <v>0</v>
      </c>
      <c r="K289" s="16" t="s">
        <v>185</v>
      </c>
    </row>
    <row r="290" spans="1:11" s="28" customFormat="1" ht="46.5" customHeight="1" x14ac:dyDescent="0.3">
      <c r="A290" s="55">
        <v>249</v>
      </c>
      <c r="B290" s="244"/>
      <c r="C290" s="14" t="s">
        <v>435</v>
      </c>
      <c r="D290" s="14" t="s">
        <v>436</v>
      </c>
      <c r="E290" s="1" t="s">
        <v>19</v>
      </c>
      <c r="F290" s="193">
        <v>75.319999999999993</v>
      </c>
      <c r="G290" s="193">
        <v>75.319999999999993</v>
      </c>
      <c r="H290" s="101">
        <v>0</v>
      </c>
      <c r="I290" s="101">
        <v>0</v>
      </c>
      <c r="J290" s="101">
        <v>0</v>
      </c>
      <c r="K290" s="16" t="s">
        <v>185</v>
      </c>
    </row>
    <row r="291" spans="1:11" s="32" customFormat="1" ht="29.4" customHeight="1" x14ac:dyDescent="0.3">
      <c r="A291" s="250" t="s">
        <v>452</v>
      </c>
      <c r="B291" s="251"/>
      <c r="C291" s="252"/>
      <c r="D291" s="34"/>
      <c r="E291" s="34"/>
      <c r="F291" s="134">
        <f>SUM(F283:F290)</f>
        <v>6095.0599999999995</v>
      </c>
      <c r="G291" s="134">
        <f>SUM(G283:G290)</f>
        <v>6095.0599999999995</v>
      </c>
      <c r="H291" s="134">
        <f t="shared" ref="H291:J291" si="44">SUM(H283:H285)</f>
        <v>0</v>
      </c>
      <c r="I291" s="134">
        <f t="shared" si="44"/>
        <v>0</v>
      </c>
      <c r="J291" s="134">
        <f t="shared" si="44"/>
        <v>0</v>
      </c>
      <c r="K291" s="31"/>
    </row>
    <row r="292" spans="1:11" s="28" customFormat="1" ht="26.4" x14ac:dyDescent="0.3">
      <c r="A292" s="13">
        <v>250</v>
      </c>
      <c r="B292" s="242" t="s">
        <v>422</v>
      </c>
      <c r="C292" s="16" t="s">
        <v>437</v>
      </c>
      <c r="D292" s="42" t="s">
        <v>137</v>
      </c>
      <c r="E292" s="1" t="s">
        <v>19</v>
      </c>
      <c r="F292" s="109">
        <v>6276.21</v>
      </c>
      <c r="G292" s="109">
        <v>0</v>
      </c>
      <c r="H292" s="109">
        <v>6276.21</v>
      </c>
      <c r="I292" s="101">
        <v>0</v>
      </c>
      <c r="J292" s="101">
        <v>0</v>
      </c>
      <c r="K292" s="16" t="s">
        <v>196</v>
      </c>
    </row>
    <row r="293" spans="1:11" s="28" customFormat="1" ht="26.4" x14ac:dyDescent="0.3">
      <c r="A293" s="13">
        <v>251</v>
      </c>
      <c r="B293" s="243"/>
      <c r="C293" s="16" t="s">
        <v>438</v>
      </c>
      <c r="D293" s="42" t="s">
        <v>424</v>
      </c>
      <c r="E293" s="1" t="s">
        <v>19</v>
      </c>
      <c r="F293" s="109">
        <v>3316.03</v>
      </c>
      <c r="G293" s="109">
        <v>0</v>
      </c>
      <c r="H293" s="109">
        <v>3316.03</v>
      </c>
      <c r="I293" s="101">
        <v>0</v>
      </c>
      <c r="J293" s="101">
        <v>0</v>
      </c>
      <c r="K293" s="16" t="s">
        <v>196</v>
      </c>
    </row>
    <row r="294" spans="1:11" s="28" customFormat="1" ht="26.4" x14ac:dyDescent="0.3">
      <c r="A294" s="53">
        <v>252</v>
      </c>
      <c r="B294" s="243"/>
      <c r="C294" s="16" t="s">
        <v>439</v>
      </c>
      <c r="D294" s="42" t="s">
        <v>429</v>
      </c>
      <c r="E294" s="1" t="s">
        <v>19</v>
      </c>
      <c r="F294" s="109">
        <v>974.07</v>
      </c>
      <c r="G294" s="109">
        <v>0</v>
      </c>
      <c r="H294" s="109">
        <v>974.07</v>
      </c>
      <c r="I294" s="101">
        <v>0</v>
      </c>
      <c r="J294" s="101">
        <v>0</v>
      </c>
      <c r="K294" s="16" t="s">
        <v>196</v>
      </c>
    </row>
    <row r="295" spans="1:11" s="28" customFormat="1" ht="26.4" x14ac:dyDescent="0.3">
      <c r="A295" s="53">
        <v>253</v>
      </c>
      <c r="B295" s="243"/>
      <c r="C295" s="16" t="s">
        <v>440</v>
      </c>
      <c r="D295" s="42" t="s">
        <v>427</v>
      </c>
      <c r="E295" s="1" t="s">
        <v>19</v>
      </c>
      <c r="F295" s="109">
        <v>690.56</v>
      </c>
      <c r="G295" s="109">
        <v>0</v>
      </c>
      <c r="H295" s="109">
        <v>690.56</v>
      </c>
      <c r="I295" s="101">
        <v>0</v>
      </c>
      <c r="J295" s="101">
        <v>0</v>
      </c>
      <c r="K295" s="16" t="s">
        <v>196</v>
      </c>
    </row>
    <row r="296" spans="1:11" s="28" customFormat="1" ht="26.4" x14ac:dyDescent="0.3">
      <c r="A296" s="53">
        <v>254</v>
      </c>
      <c r="B296" s="243"/>
      <c r="C296" s="16" t="s">
        <v>441</v>
      </c>
      <c r="D296" s="42" t="s">
        <v>431</v>
      </c>
      <c r="E296" s="1" t="s">
        <v>19</v>
      </c>
      <c r="F296" s="109">
        <v>282.33999999999997</v>
      </c>
      <c r="G296" s="109">
        <v>0</v>
      </c>
      <c r="H296" s="109">
        <v>282.33999999999997</v>
      </c>
      <c r="I296" s="101">
        <v>0</v>
      </c>
      <c r="J296" s="101">
        <v>0</v>
      </c>
      <c r="K296" s="16" t="s">
        <v>196</v>
      </c>
    </row>
    <row r="297" spans="1:11" s="28" customFormat="1" ht="39.6" x14ac:dyDescent="0.3">
      <c r="A297" s="53">
        <v>255</v>
      </c>
      <c r="B297" s="243"/>
      <c r="C297" s="16" t="s">
        <v>442</v>
      </c>
      <c r="D297" s="42" t="s">
        <v>313</v>
      </c>
      <c r="E297" s="1" t="s">
        <v>19</v>
      </c>
      <c r="F297" s="109">
        <v>188.53</v>
      </c>
      <c r="G297" s="109">
        <v>0</v>
      </c>
      <c r="H297" s="109">
        <v>188.53</v>
      </c>
      <c r="I297" s="101">
        <v>0</v>
      </c>
      <c r="J297" s="101">
        <v>0</v>
      </c>
      <c r="K297" s="16" t="s">
        <v>196</v>
      </c>
    </row>
    <row r="298" spans="1:11" s="28" customFormat="1" ht="44.25" customHeight="1" x14ac:dyDescent="0.3">
      <c r="A298" s="53">
        <v>256</v>
      </c>
      <c r="B298" s="244"/>
      <c r="C298" s="16" t="s">
        <v>443</v>
      </c>
      <c r="D298" s="13" t="s">
        <v>434</v>
      </c>
      <c r="E298" s="1" t="s">
        <v>19</v>
      </c>
      <c r="F298" s="101">
        <v>153.22999999999999</v>
      </c>
      <c r="G298" s="109">
        <v>0</v>
      </c>
      <c r="H298" s="101">
        <v>153.22999999999999</v>
      </c>
      <c r="I298" s="101">
        <v>0</v>
      </c>
      <c r="J298" s="101">
        <v>0</v>
      </c>
      <c r="K298" s="16" t="s">
        <v>196</v>
      </c>
    </row>
    <row r="299" spans="1:11" s="32" customFormat="1" ht="25.8" customHeight="1" x14ac:dyDescent="0.3">
      <c r="A299" s="240" t="s">
        <v>453</v>
      </c>
      <c r="B299" s="240"/>
      <c r="C299" s="240"/>
      <c r="D299" s="31"/>
      <c r="E299" s="31"/>
      <c r="F299" s="134">
        <f>SUM(F292:F298)</f>
        <v>11880.97</v>
      </c>
      <c r="G299" s="134">
        <f t="shared" ref="G299:J299" si="45">SUM(G292:G298)</f>
        <v>0</v>
      </c>
      <c r="H299" s="134">
        <f>SUM(H292:H298)</f>
        <v>11880.97</v>
      </c>
      <c r="I299" s="134">
        <f t="shared" si="45"/>
        <v>0</v>
      </c>
      <c r="J299" s="134">
        <f t="shared" si="45"/>
        <v>0</v>
      </c>
      <c r="K299" s="31"/>
    </row>
    <row r="300" spans="1:11" s="28" customFormat="1" ht="26.4" x14ac:dyDescent="0.3">
      <c r="A300" s="13">
        <v>257</v>
      </c>
      <c r="B300" s="242" t="s">
        <v>422</v>
      </c>
      <c r="C300" s="16" t="s">
        <v>444</v>
      </c>
      <c r="D300" s="13" t="s">
        <v>137</v>
      </c>
      <c r="E300" s="1" t="s">
        <v>19</v>
      </c>
      <c r="F300" s="109">
        <v>7413.99</v>
      </c>
      <c r="G300" s="109">
        <v>0</v>
      </c>
      <c r="H300" s="101">
        <v>0</v>
      </c>
      <c r="I300" s="109">
        <v>7413.99</v>
      </c>
      <c r="J300" s="101">
        <v>0</v>
      </c>
      <c r="K300" s="16" t="s">
        <v>207</v>
      </c>
    </row>
    <row r="301" spans="1:11" s="28" customFormat="1" ht="26.4" x14ac:dyDescent="0.3">
      <c r="A301" s="13">
        <v>258</v>
      </c>
      <c r="B301" s="243"/>
      <c r="C301" s="16" t="s">
        <v>445</v>
      </c>
      <c r="D301" s="13" t="s">
        <v>429</v>
      </c>
      <c r="E301" s="1" t="s">
        <v>19</v>
      </c>
      <c r="F301" s="109">
        <v>974.07</v>
      </c>
      <c r="G301" s="109">
        <v>0</v>
      </c>
      <c r="H301" s="101">
        <v>0</v>
      </c>
      <c r="I301" s="109">
        <v>974.07</v>
      </c>
      <c r="J301" s="101">
        <v>0</v>
      </c>
      <c r="K301" s="16" t="s">
        <v>207</v>
      </c>
    </row>
    <row r="302" spans="1:11" s="28" customFormat="1" ht="29.4" customHeight="1" x14ac:dyDescent="0.3">
      <c r="A302" s="53">
        <v>259</v>
      </c>
      <c r="B302" s="243"/>
      <c r="C302" s="16" t="s">
        <v>446</v>
      </c>
      <c r="D302" s="13" t="s">
        <v>427</v>
      </c>
      <c r="E302" s="1" t="s">
        <v>19</v>
      </c>
      <c r="F302" s="101">
        <v>690.56</v>
      </c>
      <c r="G302" s="109">
        <v>0</v>
      </c>
      <c r="H302" s="101">
        <v>0</v>
      </c>
      <c r="I302" s="101">
        <v>690.56</v>
      </c>
      <c r="J302" s="101">
        <v>0</v>
      </c>
      <c r="K302" s="16" t="s">
        <v>207</v>
      </c>
    </row>
    <row r="303" spans="1:11" s="28" customFormat="1" ht="24.6" customHeight="1" x14ac:dyDescent="0.3">
      <c r="A303" s="53">
        <v>260</v>
      </c>
      <c r="B303" s="243"/>
      <c r="C303" s="16" t="s">
        <v>447</v>
      </c>
      <c r="D303" s="13" t="s">
        <v>431</v>
      </c>
      <c r="E303" s="1" t="s">
        <v>19</v>
      </c>
      <c r="F303" s="101">
        <v>236.55</v>
      </c>
      <c r="G303" s="109">
        <v>0</v>
      </c>
      <c r="H303" s="101">
        <v>0</v>
      </c>
      <c r="I303" s="101">
        <v>236.55</v>
      </c>
      <c r="J303" s="101">
        <v>0</v>
      </c>
      <c r="K303" s="16" t="s">
        <v>207</v>
      </c>
    </row>
    <row r="304" spans="1:11" s="28" customFormat="1" ht="28.8" customHeight="1" x14ac:dyDescent="0.3">
      <c r="A304" s="53">
        <v>261</v>
      </c>
      <c r="B304" s="243"/>
      <c r="C304" s="16" t="s">
        <v>448</v>
      </c>
      <c r="D304" s="13" t="s">
        <v>313</v>
      </c>
      <c r="E304" s="1" t="s">
        <v>19</v>
      </c>
      <c r="F304" s="101">
        <v>188.53</v>
      </c>
      <c r="G304" s="109">
        <v>0</v>
      </c>
      <c r="H304" s="101">
        <v>0</v>
      </c>
      <c r="I304" s="101">
        <v>188.53</v>
      </c>
      <c r="J304" s="101">
        <v>0</v>
      </c>
      <c r="K304" s="16" t="s">
        <v>207</v>
      </c>
    </row>
    <row r="305" spans="1:11" s="28" customFormat="1" ht="30" customHeight="1" x14ac:dyDescent="0.3">
      <c r="A305" s="53">
        <v>262</v>
      </c>
      <c r="B305" s="243"/>
      <c r="C305" s="16" t="s">
        <v>449</v>
      </c>
      <c r="D305" s="13" t="s">
        <v>434</v>
      </c>
      <c r="E305" s="1" t="s">
        <v>19</v>
      </c>
      <c r="F305" s="101">
        <v>153.22999999999999</v>
      </c>
      <c r="G305" s="109">
        <v>0</v>
      </c>
      <c r="H305" s="101">
        <v>0</v>
      </c>
      <c r="I305" s="101">
        <v>153.22999999999999</v>
      </c>
      <c r="J305" s="101">
        <v>0</v>
      </c>
      <c r="K305" s="16" t="s">
        <v>207</v>
      </c>
    </row>
    <row r="306" spans="1:11" s="28" customFormat="1" ht="40.799999999999997" customHeight="1" x14ac:dyDescent="0.3">
      <c r="A306" s="53">
        <v>263</v>
      </c>
      <c r="B306" s="243"/>
      <c r="C306" s="16" t="s">
        <v>450</v>
      </c>
      <c r="D306" s="13" t="s">
        <v>436</v>
      </c>
      <c r="E306" s="1" t="s">
        <v>19</v>
      </c>
      <c r="F306" s="101">
        <v>19.89</v>
      </c>
      <c r="G306" s="109">
        <v>0</v>
      </c>
      <c r="H306" s="101">
        <v>0</v>
      </c>
      <c r="I306" s="101">
        <v>19.89</v>
      </c>
      <c r="J306" s="101">
        <v>0</v>
      </c>
      <c r="K306" s="16" t="s">
        <v>207</v>
      </c>
    </row>
    <row r="307" spans="1:11" s="28" customFormat="1" ht="33" customHeight="1" x14ac:dyDescent="0.3">
      <c r="A307" s="53">
        <v>264</v>
      </c>
      <c r="B307" s="244"/>
      <c r="C307" s="16" t="s">
        <v>451</v>
      </c>
      <c r="D307" s="13" t="s">
        <v>424</v>
      </c>
      <c r="E307" s="1" t="s">
        <v>19</v>
      </c>
      <c r="F307" s="101">
        <v>3316.03</v>
      </c>
      <c r="G307" s="109">
        <v>0</v>
      </c>
      <c r="H307" s="101">
        <v>0</v>
      </c>
      <c r="I307" s="101">
        <v>3316.03</v>
      </c>
      <c r="J307" s="101">
        <v>0</v>
      </c>
      <c r="K307" s="16" t="s">
        <v>207</v>
      </c>
    </row>
    <row r="308" spans="1:11" s="32" customFormat="1" ht="31.2" customHeight="1" x14ac:dyDescent="0.3">
      <c r="A308" s="240" t="s">
        <v>454</v>
      </c>
      <c r="B308" s="240"/>
      <c r="C308" s="240"/>
      <c r="D308" s="31"/>
      <c r="E308" s="31"/>
      <c r="F308" s="134">
        <f>SUM(F300:F307)</f>
        <v>12992.849999999999</v>
      </c>
      <c r="G308" s="134">
        <f t="shared" ref="G308:J308" si="46">SUM(G300:G307)</f>
        <v>0</v>
      </c>
      <c r="H308" s="134">
        <f t="shared" si="46"/>
        <v>0</v>
      </c>
      <c r="I308" s="134">
        <f t="shared" si="46"/>
        <v>12992.849999999999</v>
      </c>
      <c r="J308" s="134">
        <f t="shared" si="46"/>
        <v>0</v>
      </c>
      <c r="K308" s="31"/>
    </row>
    <row r="309" spans="1:11" s="28" customFormat="1" ht="26.4" x14ac:dyDescent="0.3">
      <c r="A309" s="29">
        <v>265</v>
      </c>
      <c r="B309" s="253" t="s">
        <v>455</v>
      </c>
      <c r="C309" s="17" t="s">
        <v>456</v>
      </c>
      <c r="D309" s="44" t="s">
        <v>457</v>
      </c>
      <c r="E309" s="45" t="s">
        <v>19</v>
      </c>
      <c r="F309" s="200">
        <v>191</v>
      </c>
      <c r="G309" s="200">
        <v>191</v>
      </c>
      <c r="H309" s="231">
        <v>0</v>
      </c>
      <c r="I309" s="231">
        <v>0</v>
      </c>
      <c r="J309" s="231">
        <v>0</v>
      </c>
      <c r="K309" s="46">
        <v>46082</v>
      </c>
    </row>
    <row r="310" spans="1:11" s="28" customFormat="1" ht="39.6" x14ac:dyDescent="0.3">
      <c r="A310" s="13">
        <v>266</v>
      </c>
      <c r="B310" s="254"/>
      <c r="C310" s="17" t="s">
        <v>458</v>
      </c>
      <c r="D310" s="17" t="s">
        <v>459</v>
      </c>
      <c r="E310" s="1" t="s">
        <v>19</v>
      </c>
      <c r="F310" s="200">
        <v>104</v>
      </c>
      <c r="G310" s="200">
        <v>104</v>
      </c>
      <c r="H310" s="231">
        <v>0</v>
      </c>
      <c r="I310" s="231">
        <v>0</v>
      </c>
      <c r="J310" s="231">
        <v>0</v>
      </c>
      <c r="K310" s="46">
        <v>46082</v>
      </c>
    </row>
    <row r="311" spans="1:11" s="28" customFormat="1" ht="52.8" x14ac:dyDescent="0.3">
      <c r="A311" s="54">
        <v>267</v>
      </c>
      <c r="B311" s="254"/>
      <c r="C311" s="17" t="s">
        <v>460</v>
      </c>
      <c r="D311" s="17" t="s">
        <v>461</v>
      </c>
      <c r="E311" s="1" t="s">
        <v>19</v>
      </c>
      <c r="F311" s="200">
        <v>126.05</v>
      </c>
      <c r="G311" s="200">
        <v>126.05</v>
      </c>
      <c r="H311" s="231">
        <v>0</v>
      </c>
      <c r="I311" s="231">
        <v>0</v>
      </c>
      <c r="J311" s="231">
        <v>0</v>
      </c>
      <c r="K311" s="46">
        <v>46054</v>
      </c>
    </row>
    <row r="312" spans="1:11" s="28" customFormat="1" ht="52.8" x14ac:dyDescent="0.3">
      <c r="A312" s="53">
        <v>268</v>
      </c>
      <c r="B312" s="254"/>
      <c r="C312" s="17" t="s">
        <v>462</v>
      </c>
      <c r="D312" s="17" t="s">
        <v>463</v>
      </c>
      <c r="E312" s="1" t="s">
        <v>19</v>
      </c>
      <c r="F312" s="200">
        <v>1876.62</v>
      </c>
      <c r="G312" s="200">
        <v>1876.62</v>
      </c>
      <c r="H312" s="231">
        <v>0</v>
      </c>
      <c r="I312" s="231">
        <v>0</v>
      </c>
      <c r="J312" s="231">
        <v>0</v>
      </c>
      <c r="K312" s="46">
        <v>46054</v>
      </c>
    </row>
    <row r="313" spans="1:11" s="28" customFormat="1" ht="26.4" x14ac:dyDescent="0.3">
      <c r="A313" s="54">
        <v>269</v>
      </c>
      <c r="B313" s="254"/>
      <c r="C313" s="17" t="s">
        <v>464</v>
      </c>
      <c r="D313" s="17" t="s">
        <v>465</v>
      </c>
      <c r="E313" s="1" t="s">
        <v>19</v>
      </c>
      <c r="F313" s="200">
        <v>47.7</v>
      </c>
      <c r="G313" s="200">
        <v>47.7</v>
      </c>
      <c r="H313" s="231">
        <v>0</v>
      </c>
      <c r="I313" s="231">
        <v>0</v>
      </c>
      <c r="J313" s="231">
        <v>0</v>
      </c>
      <c r="K313" s="46">
        <v>46082</v>
      </c>
    </row>
    <row r="314" spans="1:11" s="28" customFormat="1" ht="39.6" x14ac:dyDescent="0.3">
      <c r="A314" s="53">
        <v>270</v>
      </c>
      <c r="B314" s="254"/>
      <c r="C314" s="17" t="s">
        <v>466</v>
      </c>
      <c r="D314" s="17" t="s">
        <v>467</v>
      </c>
      <c r="E314" s="1" t="s">
        <v>19</v>
      </c>
      <c r="F314" s="200">
        <v>85.66</v>
      </c>
      <c r="G314" s="200">
        <v>85.66</v>
      </c>
      <c r="H314" s="231">
        <v>0</v>
      </c>
      <c r="I314" s="231">
        <v>0</v>
      </c>
      <c r="J314" s="231">
        <v>0</v>
      </c>
      <c r="K314" s="46">
        <v>46082</v>
      </c>
    </row>
    <row r="315" spans="1:11" s="28" customFormat="1" ht="39.6" x14ac:dyDescent="0.3">
      <c r="A315" s="54">
        <v>271</v>
      </c>
      <c r="B315" s="254"/>
      <c r="C315" s="17" t="s">
        <v>468</v>
      </c>
      <c r="D315" s="17" t="s">
        <v>469</v>
      </c>
      <c r="E315" s="1" t="s">
        <v>19</v>
      </c>
      <c r="F315" s="200">
        <v>159.83000000000001</v>
      </c>
      <c r="G315" s="200">
        <v>159.83000000000001</v>
      </c>
      <c r="H315" s="231">
        <v>0</v>
      </c>
      <c r="I315" s="231">
        <v>0</v>
      </c>
      <c r="J315" s="231">
        <v>0</v>
      </c>
      <c r="K315" s="46">
        <v>46082</v>
      </c>
    </row>
    <row r="316" spans="1:11" s="28" customFormat="1" ht="39.6" x14ac:dyDescent="0.3">
      <c r="A316" s="53">
        <v>272</v>
      </c>
      <c r="B316" s="254"/>
      <c r="C316" s="17" t="s">
        <v>470</v>
      </c>
      <c r="D316" s="17" t="s">
        <v>471</v>
      </c>
      <c r="E316" s="1" t="s">
        <v>19</v>
      </c>
      <c r="F316" s="200">
        <v>462.48</v>
      </c>
      <c r="G316" s="200">
        <v>462.48</v>
      </c>
      <c r="H316" s="231">
        <v>0</v>
      </c>
      <c r="I316" s="231">
        <v>0</v>
      </c>
      <c r="J316" s="231">
        <v>0</v>
      </c>
      <c r="K316" s="46">
        <v>46082</v>
      </c>
    </row>
    <row r="317" spans="1:11" s="28" customFormat="1" ht="26.4" x14ac:dyDescent="0.3">
      <c r="A317" s="54">
        <v>273</v>
      </c>
      <c r="B317" s="254"/>
      <c r="C317" s="17" t="s">
        <v>472</v>
      </c>
      <c r="D317" s="17" t="s">
        <v>182</v>
      </c>
      <c r="E317" s="1" t="s">
        <v>19</v>
      </c>
      <c r="F317" s="200">
        <v>36.4</v>
      </c>
      <c r="G317" s="200">
        <v>36.4</v>
      </c>
      <c r="H317" s="231">
        <v>0</v>
      </c>
      <c r="I317" s="231">
        <v>0</v>
      </c>
      <c r="J317" s="231">
        <v>0</v>
      </c>
      <c r="K317" s="46">
        <v>46023</v>
      </c>
    </row>
    <row r="318" spans="1:11" s="28" customFormat="1" ht="26.4" x14ac:dyDescent="0.3">
      <c r="A318" s="53">
        <v>274</v>
      </c>
      <c r="B318" s="254"/>
      <c r="C318" s="17" t="s">
        <v>473</v>
      </c>
      <c r="D318" s="17" t="s">
        <v>474</v>
      </c>
      <c r="E318" s="1" t="s">
        <v>19</v>
      </c>
      <c r="F318" s="200">
        <v>336.07</v>
      </c>
      <c r="G318" s="200">
        <v>336.07</v>
      </c>
      <c r="H318" s="231">
        <v>0</v>
      </c>
      <c r="I318" s="231">
        <v>0</v>
      </c>
      <c r="J318" s="231">
        <v>0</v>
      </c>
      <c r="K318" s="46">
        <v>46082</v>
      </c>
    </row>
    <row r="319" spans="1:11" s="28" customFormat="1" ht="26.4" x14ac:dyDescent="0.3">
      <c r="A319" s="54">
        <v>275</v>
      </c>
      <c r="B319" s="254"/>
      <c r="C319" s="17" t="s">
        <v>475</v>
      </c>
      <c r="D319" s="17" t="s">
        <v>476</v>
      </c>
      <c r="E319" s="1" t="s">
        <v>19</v>
      </c>
      <c r="F319" s="200">
        <v>336.17</v>
      </c>
      <c r="G319" s="200">
        <v>0</v>
      </c>
      <c r="H319" s="200">
        <v>336.17</v>
      </c>
      <c r="I319" s="101">
        <v>0</v>
      </c>
      <c r="J319" s="101">
        <v>0</v>
      </c>
      <c r="K319" s="46">
        <v>46235</v>
      </c>
    </row>
    <row r="320" spans="1:11" s="28" customFormat="1" ht="39.6" x14ac:dyDescent="0.3">
      <c r="A320" s="53">
        <v>276</v>
      </c>
      <c r="B320" s="254"/>
      <c r="C320" s="17" t="s">
        <v>477</v>
      </c>
      <c r="D320" s="17" t="s">
        <v>478</v>
      </c>
      <c r="E320" s="1" t="s">
        <v>19</v>
      </c>
      <c r="F320" s="200">
        <v>147.59</v>
      </c>
      <c r="G320" s="200">
        <v>147.59</v>
      </c>
      <c r="H320" s="101">
        <v>0</v>
      </c>
      <c r="I320" s="101">
        <v>0</v>
      </c>
      <c r="J320" s="101">
        <v>0</v>
      </c>
      <c r="K320" s="46">
        <v>46023</v>
      </c>
    </row>
    <row r="321" spans="1:12" s="28" customFormat="1" ht="39.6" x14ac:dyDescent="0.3">
      <c r="A321" s="54">
        <v>277</v>
      </c>
      <c r="B321" s="254"/>
      <c r="C321" s="17" t="s">
        <v>479</v>
      </c>
      <c r="D321" s="17" t="s">
        <v>467</v>
      </c>
      <c r="E321" s="1" t="s">
        <v>19</v>
      </c>
      <c r="F321" s="200">
        <v>97.79</v>
      </c>
      <c r="G321" s="200">
        <v>97.79</v>
      </c>
      <c r="H321" s="101">
        <v>0</v>
      </c>
      <c r="I321" s="101">
        <v>0</v>
      </c>
      <c r="J321" s="101">
        <v>0</v>
      </c>
      <c r="K321" s="46">
        <v>46054</v>
      </c>
    </row>
    <row r="322" spans="1:12" s="28" customFormat="1" ht="26.4" x14ac:dyDescent="0.3">
      <c r="A322" s="53">
        <v>278</v>
      </c>
      <c r="B322" s="254"/>
      <c r="C322" s="17" t="s">
        <v>480</v>
      </c>
      <c r="D322" s="17" t="s">
        <v>481</v>
      </c>
      <c r="E322" s="1" t="s">
        <v>19</v>
      </c>
      <c r="F322" s="200">
        <v>1400</v>
      </c>
      <c r="G322" s="200">
        <v>1400</v>
      </c>
      <c r="H322" s="101">
        <v>0</v>
      </c>
      <c r="I322" s="101">
        <v>0</v>
      </c>
      <c r="J322" s="101">
        <v>0</v>
      </c>
      <c r="K322" s="46">
        <v>46054</v>
      </c>
    </row>
    <row r="323" spans="1:12" s="28" customFormat="1" ht="26.4" x14ac:dyDescent="0.3">
      <c r="A323" s="54">
        <v>279</v>
      </c>
      <c r="B323" s="254"/>
      <c r="C323" s="17" t="s">
        <v>482</v>
      </c>
      <c r="D323" s="17" t="s">
        <v>434</v>
      </c>
      <c r="E323" s="1" t="s">
        <v>19</v>
      </c>
      <c r="F323" s="200">
        <v>75.349999999999994</v>
      </c>
      <c r="G323" s="200">
        <v>75.349999999999994</v>
      </c>
      <c r="H323" s="101">
        <v>0</v>
      </c>
      <c r="I323" s="101">
        <v>0</v>
      </c>
      <c r="J323" s="101">
        <v>0</v>
      </c>
      <c r="K323" s="46">
        <v>46023</v>
      </c>
    </row>
    <row r="324" spans="1:12" s="28" customFormat="1" ht="26.4" x14ac:dyDescent="0.3">
      <c r="A324" s="53">
        <v>280</v>
      </c>
      <c r="B324" s="254"/>
      <c r="C324" s="17" t="s">
        <v>483</v>
      </c>
      <c r="D324" s="17" t="s">
        <v>484</v>
      </c>
      <c r="E324" s="1" t="s">
        <v>19</v>
      </c>
      <c r="F324" s="200">
        <v>310</v>
      </c>
      <c r="G324" s="200">
        <v>310</v>
      </c>
      <c r="H324" s="101">
        <v>0</v>
      </c>
      <c r="I324" s="101">
        <v>0</v>
      </c>
      <c r="J324" s="101">
        <v>0</v>
      </c>
      <c r="K324" s="46">
        <v>46054</v>
      </c>
    </row>
    <row r="325" spans="1:12" s="28" customFormat="1" ht="26.4" x14ac:dyDescent="0.3">
      <c r="A325" s="54">
        <v>281</v>
      </c>
      <c r="B325" s="254"/>
      <c r="C325" s="17" t="s">
        <v>485</v>
      </c>
      <c r="D325" s="17" t="s">
        <v>486</v>
      </c>
      <c r="E325" s="1" t="s">
        <v>19</v>
      </c>
      <c r="F325" s="200">
        <v>64.34</v>
      </c>
      <c r="G325" s="200">
        <v>64.34</v>
      </c>
      <c r="H325" s="101">
        <v>0</v>
      </c>
      <c r="I325" s="101">
        <v>0</v>
      </c>
      <c r="J325" s="101">
        <v>0</v>
      </c>
      <c r="K325" s="46">
        <v>46082</v>
      </c>
    </row>
    <row r="326" spans="1:12" s="28" customFormat="1" ht="26.4" x14ac:dyDescent="0.3">
      <c r="A326" s="53">
        <v>282</v>
      </c>
      <c r="B326" s="254"/>
      <c r="C326" s="17" t="s">
        <v>487</v>
      </c>
      <c r="D326" s="17" t="s">
        <v>488</v>
      </c>
      <c r="E326" s="1" t="s">
        <v>19</v>
      </c>
      <c r="F326" s="200">
        <v>2851</v>
      </c>
      <c r="G326" s="200">
        <v>2851</v>
      </c>
      <c r="H326" s="101">
        <v>0</v>
      </c>
      <c r="I326" s="101">
        <v>0</v>
      </c>
      <c r="J326" s="101">
        <v>0</v>
      </c>
      <c r="K326" s="46">
        <v>46054</v>
      </c>
    </row>
    <row r="327" spans="1:12" s="28" customFormat="1" ht="26.4" x14ac:dyDescent="0.3">
      <c r="A327" s="54">
        <v>283</v>
      </c>
      <c r="B327" s="254"/>
      <c r="C327" s="17" t="s">
        <v>489</v>
      </c>
      <c r="D327" s="17" t="s">
        <v>490</v>
      </c>
      <c r="E327" s="1" t="s">
        <v>19</v>
      </c>
      <c r="F327" s="200">
        <v>189.84</v>
      </c>
      <c r="G327" s="200">
        <v>189.84</v>
      </c>
      <c r="H327" s="101">
        <v>0</v>
      </c>
      <c r="I327" s="101">
        <v>0</v>
      </c>
      <c r="J327" s="101">
        <v>0</v>
      </c>
      <c r="K327" s="46">
        <v>46054</v>
      </c>
    </row>
    <row r="328" spans="1:12" s="28" customFormat="1" ht="26.4" x14ac:dyDescent="0.3">
      <c r="A328" s="53">
        <v>284</v>
      </c>
      <c r="B328" s="254"/>
      <c r="C328" s="17" t="s">
        <v>491</v>
      </c>
      <c r="D328" s="17" t="s">
        <v>492</v>
      </c>
      <c r="E328" s="1" t="s">
        <v>19</v>
      </c>
      <c r="F328" s="200">
        <v>56.34</v>
      </c>
      <c r="G328" s="200">
        <v>56.34</v>
      </c>
      <c r="H328" s="101">
        <v>0</v>
      </c>
      <c r="I328" s="101">
        <v>0</v>
      </c>
      <c r="J328" s="101">
        <v>0</v>
      </c>
      <c r="K328" s="46">
        <v>46054</v>
      </c>
    </row>
    <row r="329" spans="1:12" s="28" customFormat="1" ht="26.4" x14ac:dyDescent="0.3">
      <c r="A329" s="54">
        <v>285</v>
      </c>
      <c r="B329" s="254"/>
      <c r="C329" s="17" t="s">
        <v>493</v>
      </c>
      <c r="D329" s="17" t="s">
        <v>494</v>
      </c>
      <c r="E329" s="1" t="s">
        <v>19</v>
      </c>
      <c r="F329" s="200">
        <v>64.400000000000006</v>
      </c>
      <c r="G329" s="200">
        <v>64.400000000000006</v>
      </c>
      <c r="H329" s="101">
        <v>0</v>
      </c>
      <c r="I329" s="101">
        <v>0</v>
      </c>
      <c r="J329" s="101">
        <v>0</v>
      </c>
      <c r="K329" s="46">
        <v>46082</v>
      </c>
    </row>
    <row r="330" spans="1:12" s="28" customFormat="1" ht="26.4" x14ac:dyDescent="0.3">
      <c r="A330" s="53">
        <v>286</v>
      </c>
      <c r="B330" s="254"/>
      <c r="C330" s="17" t="s">
        <v>495</v>
      </c>
      <c r="D330" s="17" t="s">
        <v>496</v>
      </c>
      <c r="E330" s="1" t="s">
        <v>19</v>
      </c>
      <c r="F330" s="200">
        <v>404</v>
      </c>
      <c r="G330" s="200">
        <v>404</v>
      </c>
      <c r="H330" s="101">
        <v>0</v>
      </c>
      <c r="I330" s="101">
        <v>0</v>
      </c>
      <c r="J330" s="101">
        <v>0</v>
      </c>
      <c r="K330" s="46">
        <v>46054</v>
      </c>
    </row>
    <row r="331" spans="1:12" s="28" customFormat="1" ht="26.4" x14ac:dyDescent="0.3">
      <c r="A331" s="54">
        <v>287</v>
      </c>
      <c r="B331" s="254"/>
      <c r="C331" s="17" t="s">
        <v>497</v>
      </c>
      <c r="D331" s="17" t="s">
        <v>498</v>
      </c>
      <c r="E331" s="1" t="s">
        <v>19</v>
      </c>
      <c r="F331" s="200">
        <v>1638.3</v>
      </c>
      <c r="G331" s="200">
        <v>0</v>
      </c>
      <c r="H331" s="200">
        <v>1638.3</v>
      </c>
      <c r="I331" s="101">
        <v>0</v>
      </c>
      <c r="J331" s="101">
        <v>0</v>
      </c>
      <c r="K331" s="46">
        <v>46266</v>
      </c>
    </row>
    <row r="332" spans="1:12" s="28" customFormat="1" ht="51.75" customHeight="1" x14ac:dyDescent="0.3">
      <c r="A332" s="53">
        <v>288</v>
      </c>
      <c r="B332" s="254"/>
      <c r="C332" s="17" t="s">
        <v>499</v>
      </c>
      <c r="D332" s="17" t="s">
        <v>500</v>
      </c>
      <c r="E332" s="1" t="s">
        <v>19</v>
      </c>
      <c r="F332" s="200">
        <v>33.840000000000003</v>
      </c>
      <c r="G332" s="200">
        <v>33.840000000000003</v>
      </c>
      <c r="H332" s="101">
        <v>0</v>
      </c>
      <c r="I332" s="101">
        <v>0</v>
      </c>
      <c r="J332" s="101">
        <v>0</v>
      </c>
      <c r="K332" s="46">
        <v>46266</v>
      </c>
    </row>
    <row r="333" spans="1:12" s="28" customFormat="1" ht="26.4" x14ac:dyDescent="0.3">
      <c r="A333" s="54">
        <v>289</v>
      </c>
      <c r="B333" s="254"/>
      <c r="C333" s="17" t="s">
        <v>501</v>
      </c>
      <c r="D333" s="17" t="s">
        <v>502</v>
      </c>
      <c r="E333" s="1" t="s">
        <v>19</v>
      </c>
      <c r="F333" s="200">
        <v>648.69000000000005</v>
      </c>
      <c r="G333" s="200">
        <v>0</v>
      </c>
      <c r="H333" s="200">
        <v>648.69000000000005</v>
      </c>
      <c r="I333" s="101">
        <v>0</v>
      </c>
      <c r="J333" s="101">
        <v>0</v>
      </c>
      <c r="K333" s="46">
        <v>46296</v>
      </c>
    </row>
    <row r="334" spans="1:12" s="28" customFormat="1" ht="26.4" x14ac:dyDescent="0.3">
      <c r="A334" s="53">
        <v>290</v>
      </c>
      <c r="B334" s="255"/>
      <c r="C334" s="17" t="s">
        <v>503</v>
      </c>
      <c r="D334" s="17" t="s">
        <v>434</v>
      </c>
      <c r="E334" s="1" t="s">
        <v>19</v>
      </c>
      <c r="F334" s="200">
        <v>75.349999999999994</v>
      </c>
      <c r="G334" s="200">
        <v>0</v>
      </c>
      <c r="H334" s="200">
        <v>75.349999999999994</v>
      </c>
      <c r="I334" s="101">
        <v>0</v>
      </c>
      <c r="J334" s="101">
        <v>0</v>
      </c>
      <c r="K334" s="46">
        <v>46296</v>
      </c>
    </row>
    <row r="335" spans="1:12" s="32" customFormat="1" ht="26.4" customHeight="1" x14ac:dyDescent="0.3">
      <c r="A335" s="250" t="s">
        <v>546</v>
      </c>
      <c r="B335" s="251"/>
      <c r="C335" s="252"/>
      <c r="D335" s="34"/>
      <c r="E335" s="34"/>
      <c r="F335" s="134">
        <f>SUM(F309:F334)</f>
        <v>11818.810000000001</v>
      </c>
      <c r="G335" s="134">
        <f t="shared" ref="G335:H335" si="47">SUM(G309:G334)</f>
        <v>9120.3000000000011</v>
      </c>
      <c r="H335" s="134">
        <f t="shared" si="47"/>
        <v>2698.5099999999998</v>
      </c>
      <c r="I335" s="134">
        <f>SUM(I309:I334)</f>
        <v>0</v>
      </c>
      <c r="J335" s="134">
        <f>SUM(J309:J334)</f>
        <v>0</v>
      </c>
      <c r="K335" s="31"/>
      <c r="L335" s="58"/>
    </row>
    <row r="336" spans="1:12" s="28" customFormat="1" ht="33" customHeight="1" x14ac:dyDescent="0.3">
      <c r="A336" s="13">
        <v>291</v>
      </c>
      <c r="B336" s="253" t="s">
        <v>455</v>
      </c>
      <c r="C336" s="17" t="s">
        <v>504</v>
      </c>
      <c r="D336" s="47" t="s">
        <v>457</v>
      </c>
      <c r="E336" s="7" t="s">
        <v>19</v>
      </c>
      <c r="F336" s="109">
        <v>191</v>
      </c>
      <c r="G336" s="200">
        <v>0</v>
      </c>
      <c r="H336" s="109">
        <v>191</v>
      </c>
      <c r="I336" s="101">
        <v>0</v>
      </c>
      <c r="J336" s="101">
        <v>0</v>
      </c>
      <c r="K336" s="46">
        <v>46388</v>
      </c>
    </row>
    <row r="337" spans="1:11" s="28" customFormat="1" ht="39.6" x14ac:dyDescent="0.3">
      <c r="A337" s="13">
        <v>292</v>
      </c>
      <c r="B337" s="254"/>
      <c r="C337" s="17" t="s">
        <v>505</v>
      </c>
      <c r="D337" s="17" t="s">
        <v>459</v>
      </c>
      <c r="E337" s="1" t="s">
        <v>19</v>
      </c>
      <c r="F337" s="109">
        <v>104</v>
      </c>
      <c r="G337" s="200">
        <v>0</v>
      </c>
      <c r="H337" s="109">
        <v>104</v>
      </c>
      <c r="I337" s="101">
        <v>0</v>
      </c>
      <c r="J337" s="101">
        <v>0</v>
      </c>
      <c r="K337" s="46">
        <v>46388</v>
      </c>
    </row>
    <row r="338" spans="1:11" s="28" customFormat="1" ht="52.8" x14ac:dyDescent="0.3">
      <c r="A338" s="53">
        <v>293</v>
      </c>
      <c r="B338" s="254"/>
      <c r="C338" s="17" t="s">
        <v>506</v>
      </c>
      <c r="D338" s="17" t="s">
        <v>461</v>
      </c>
      <c r="E338" s="1" t="s">
        <v>19</v>
      </c>
      <c r="F338" s="109">
        <v>126</v>
      </c>
      <c r="G338" s="200">
        <v>0</v>
      </c>
      <c r="H338" s="109">
        <v>126</v>
      </c>
      <c r="I338" s="101">
        <v>0</v>
      </c>
      <c r="J338" s="101">
        <v>0</v>
      </c>
      <c r="K338" s="46">
        <v>46419</v>
      </c>
    </row>
    <row r="339" spans="1:11" s="28" customFormat="1" ht="52.8" x14ac:dyDescent="0.3">
      <c r="A339" s="53">
        <v>294</v>
      </c>
      <c r="B339" s="254"/>
      <c r="C339" s="17" t="s">
        <v>507</v>
      </c>
      <c r="D339" s="17" t="s">
        <v>508</v>
      </c>
      <c r="E339" s="1" t="s">
        <v>19</v>
      </c>
      <c r="F339" s="109">
        <v>260</v>
      </c>
      <c r="G339" s="200">
        <v>0</v>
      </c>
      <c r="H339" s="109">
        <v>260</v>
      </c>
      <c r="I339" s="101">
        <v>0</v>
      </c>
      <c r="J339" s="101">
        <v>0</v>
      </c>
      <c r="K339" s="46">
        <v>46388</v>
      </c>
    </row>
    <row r="340" spans="1:11" s="28" customFormat="1" ht="26.4" x14ac:dyDescent="0.3">
      <c r="A340" s="53">
        <v>295</v>
      </c>
      <c r="B340" s="254"/>
      <c r="C340" s="17" t="s">
        <v>509</v>
      </c>
      <c r="D340" s="17" t="s">
        <v>465</v>
      </c>
      <c r="E340" s="1" t="s">
        <v>19</v>
      </c>
      <c r="F340" s="109">
        <v>47.7</v>
      </c>
      <c r="G340" s="200">
        <v>0</v>
      </c>
      <c r="H340" s="109">
        <v>47.7</v>
      </c>
      <c r="I340" s="101">
        <v>0</v>
      </c>
      <c r="J340" s="101">
        <v>0</v>
      </c>
      <c r="K340" s="46">
        <v>46447</v>
      </c>
    </row>
    <row r="341" spans="1:11" s="28" customFormat="1" ht="39.6" x14ac:dyDescent="0.3">
      <c r="A341" s="53">
        <v>296</v>
      </c>
      <c r="B341" s="254"/>
      <c r="C341" s="17" t="s">
        <v>510</v>
      </c>
      <c r="D341" s="17" t="s">
        <v>467</v>
      </c>
      <c r="E341" s="1" t="s">
        <v>19</v>
      </c>
      <c r="F341" s="109">
        <v>85.6</v>
      </c>
      <c r="G341" s="200">
        <v>0</v>
      </c>
      <c r="H341" s="109">
        <v>85.6</v>
      </c>
      <c r="I341" s="101">
        <v>0</v>
      </c>
      <c r="J341" s="101">
        <v>0</v>
      </c>
      <c r="K341" s="46">
        <v>46447</v>
      </c>
    </row>
    <row r="342" spans="1:11" s="28" customFormat="1" ht="39.6" x14ac:dyDescent="0.3">
      <c r="A342" s="53">
        <v>297</v>
      </c>
      <c r="B342" s="254"/>
      <c r="C342" s="17" t="s">
        <v>511</v>
      </c>
      <c r="D342" s="17" t="s">
        <v>469</v>
      </c>
      <c r="E342" s="1" t="s">
        <v>19</v>
      </c>
      <c r="F342" s="109">
        <v>159</v>
      </c>
      <c r="G342" s="200">
        <v>0</v>
      </c>
      <c r="H342" s="109">
        <v>159</v>
      </c>
      <c r="I342" s="101">
        <v>0</v>
      </c>
      <c r="J342" s="101">
        <v>0</v>
      </c>
      <c r="K342" s="46">
        <v>46447</v>
      </c>
    </row>
    <row r="343" spans="1:11" s="28" customFormat="1" ht="39.6" x14ac:dyDescent="0.3">
      <c r="A343" s="53">
        <v>298</v>
      </c>
      <c r="B343" s="254"/>
      <c r="C343" s="17" t="s">
        <v>512</v>
      </c>
      <c r="D343" s="17" t="s">
        <v>513</v>
      </c>
      <c r="E343" s="1" t="s">
        <v>19</v>
      </c>
      <c r="F343" s="109">
        <v>263</v>
      </c>
      <c r="G343" s="200">
        <v>0</v>
      </c>
      <c r="H343" s="109">
        <v>263</v>
      </c>
      <c r="I343" s="101">
        <v>0</v>
      </c>
      <c r="J343" s="101">
        <v>0</v>
      </c>
      <c r="K343" s="46">
        <v>46388</v>
      </c>
    </row>
    <row r="344" spans="1:11" s="28" customFormat="1" ht="26.4" x14ac:dyDescent="0.3">
      <c r="A344" s="53">
        <v>299</v>
      </c>
      <c r="B344" s="254"/>
      <c r="C344" s="17" t="s">
        <v>514</v>
      </c>
      <c r="D344" s="17" t="s">
        <v>182</v>
      </c>
      <c r="E344" s="1" t="s">
        <v>19</v>
      </c>
      <c r="F344" s="109">
        <v>364</v>
      </c>
      <c r="G344" s="200">
        <v>0</v>
      </c>
      <c r="H344" s="109">
        <v>364</v>
      </c>
      <c r="I344" s="101">
        <v>0</v>
      </c>
      <c r="J344" s="101">
        <v>0</v>
      </c>
      <c r="K344" s="46">
        <v>46419</v>
      </c>
    </row>
    <row r="345" spans="1:11" s="28" customFormat="1" ht="26.4" x14ac:dyDescent="0.3">
      <c r="A345" s="53">
        <v>300</v>
      </c>
      <c r="B345" s="254"/>
      <c r="C345" s="17" t="s">
        <v>515</v>
      </c>
      <c r="D345" s="17" t="s">
        <v>516</v>
      </c>
      <c r="E345" s="1" t="s">
        <v>19</v>
      </c>
      <c r="F345" s="109">
        <v>634</v>
      </c>
      <c r="G345" s="200">
        <v>0</v>
      </c>
      <c r="H345" s="109">
        <v>634</v>
      </c>
      <c r="I345" s="101">
        <v>0</v>
      </c>
      <c r="J345" s="101">
        <v>0</v>
      </c>
      <c r="K345" s="46">
        <v>46419</v>
      </c>
    </row>
    <row r="346" spans="1:11" s="28" customFormat="1" ht="26.4" x14ac:dyDescent="0.3">
      <c r="A346" s="53">
        <v>301</v>
      </c>
      <c r="B346" s="254"/>
      <c r="C346" s="17" t="s">
        <v>517</v>
      </c>
      <c r="D346" s="17" t="s">
        <v>518</v>
      </c>
      <c r="E346" s="1" t="s">
        <v>19</v>
      </c>
      <c r="F346" s="109">
        <v>719</v>
      </c>
      <c r="G346" s="200">
        <v>0</v>
      </c>
      <c r="H346" s="109">
        <v>719</v>
      </c>
      <c r="I346" s="101">
        <v>0</v>
      </c>
      <c r="J346" s="101">
        <v>0</v>
      </c>
      <c r="K346" s="46">
        <v>46419</v>
      </c>
    </row>
    <row r="347" spans="1:11" s="28" customFormat="1" ht="26.4" x14ac:dyDescent="0.3">
      <c r="A347" s="53">
        <v>302</v>
      </c>
      <c r="B347" s="254"/>
      <c r="C347" s="17" t="s">
        <v>519</v>
      </c>
      <c r="D347" s="17" t="s">
        <v>520</v>
      </c>
      <c r="E347" s="1" t="s">
        <v>19</v>
      </c>
      <c r="F347" s="109">
        <v>367</v>
      </c>
      <c r="G347" s="200">
        <v>0</v>
      </c>
      <c r="H347" s="109">
        <v>367</v>
      </c>
      <c r="I347" s="101">
        <v>0</v>
      </c>
      <c r="J347" s="101">
        <v>0</v>
      </c>
      <c r="K347" s="46">
        <v>46631</v>
      </c>
    </row>
    <row r="348" spans="1:11" s="28" customFormat="1" ht="39.6" x14ac:dyDescent="0.3">
      <c r="A348" s="53">
        <v>303</v>
      </c>
      <c r="B348" s="254"/>
      <c r="C348" s="17" t="s">
        <v>521</v>
      </c>
      <c r="D348" s="17" t="s">
        <v>478</v>
      </c>
      <c r="E348" s="1" t="s">
        <v>19</v>
      </c>
      <c r="F348" s="109">
        <v>133</v>
      </c>
      <c r="G348" s="200">
        <v>0</v>
      </c>
      <c r="H348" s="109">
        <v>133</v>
      </c>
      <c r="I348" s="101">
        <v>0</v>
      </c>
      <c r="J348" s="101">
        <v>0</v>
      </c>
      <c r="K348" s="46">
        <v>46447</v>
      </c>
    </row>
    <row r="349" spans="1:11" s="28" customFormat="1" ht="26.4" x14ac:dyDescent="0.3">
      <c r="A349" s="53">
        <v>304</v>
      </c>
      <c r="B349" s="254"/>
      <c r="C349" s="17" t="s">
        <v>522</v>
      </c>
      <c r="D349" s="17" t="s">
        <v>523</v>
      </c>
      <c r="E349" s="1" t="s">
        <v>19</v>
      </c>
      <c r="F349" s="109">
        <v>1774</v>
      </c>
      <c r="G349" s="200">
        <v>0</v>
      </c>
      <c r="H349" s="109">
        <v>1774</v>
      </c>
      <c r="I349" s="101">
        <v>0</v>
      </c>
      <c r="J349" s="101">
        <v>0</v>
      </c>
      <c r="K349" s="46">
        <v>46661</v>
      </c>
    </row>
    <row r="350" spans="1:11" s="28" customFormat="1" ht="52.8" x14ac:dyDescent="0.3">
      <c r="A350" s="53">
        <v>305</v>
      </c>
      <c r="B350" s="254"/>
      <c r="C350" s="17" t="s">
        <v>524</v>
      </c>
      <c r="D350" s="17" t="s">
        <v>500</v>
      </c>
      <c r="E350" s="1" t="s">
        <v>19</v>
      </c>
      <c r="F350" s="109">
        <v>487</v>
      </c>
      <c r="G350" s="200">
        <v>0</v>
      </c>
      <c r="H350" s="109">
        <v>487</v>
      </c>
      <c r="I350" s="101">
        <v>0</v>
      </c>
      <c r="J350" s="101">
        <v>0</v>
      </c>
      <c r="K350" s="46">
        <v>46054</v>
      </c>
    </row>
    <row r="351" spans="1:11" s="28" customFormat="1" ht="26.4" x14ac:dyDescent="0.3">
      <c r="A351" s="53">
        <v>306</v>
      </c>
      <c r="B351" s="254"/>
      <c r="C351" s="17" t="s">
        <v>525</v>
      </c>
      <c r="D351" s="17" t="s">
        <v>434</v>
      </c>
      <c r="E351" s="1" t="s">
        <v>19</v>
      </c>
      <c r="F351" s="109">
        <v>75.3</v>
      </c>
      <c r="G351" s="200">
        <v>0</v>
      </c>
      <c r="H351" s="109">
        <v>75.3</v>
      </c>
      <c r="I351" s="101">
        <v>0</v>
      </c>
      <c r="J351" s="101">
        <v>0</v>
      </c>
      <c r="K351" s="46">
        <v>46419</v>
      </c>
    </row>
    <row r="352" spans="1:11" s="28" customFormat="1" ht="52.8" x14ac:dyDescent="0.3">
      <c r="A352" s="53">
        <v>307</v>
      </c>
      <c r="B352" s="254"/>
      <c r="C352" s="17" t="s">
        <v>526</v>
      </c>
      <c r="D352" s="17" t="s">
        <v>527</v>
      </c>
      <c r="E352" s="1" t="s">
        <v>19</v>
      </c>
      <c r="F352" s="109">
        <v>4639</v>
      </c>
      <c r="G352" s="200">
        <v>0</v>
      </c>
      <c r="H352" s="109">
        <v>4639</v>
      </c>
      <c r="I352" s="101">
        <v>0</v>
      </c>
      <c r="J352" s="101">
        <v>0</v>
      </c>
      <c r="K352" s="46">
        <v>46388</v>
      </c>
    </row>
    <row r="353" spans="1:12" s="28" customFormat="1" ht="39.6" x14ac:dyDescent="0.3">
      <c r="A353" s="53">
        <v>308</v>
      </c>
      <c r="B353" s="254"/>
      <c r="C353" s="17" t="s">
        <v>528</v>
      </c>
      <c r="D353" s="17" t="s">
        <v>467</v>
      </c>
      <c r="E353" s="1" t="s">
        <v>19</v>
      </c>
      <c r="F353" s="109">
        <v>97.7</v>
      </c>
      <c r="G353" s="200">
        <v>0</v>
      </c>
      <c r="H353" s="109">
        <v>97.7</v>
      </c>
      <c r="I353" s="101">
        <v>0</v>
      </c>
      <c r="J353" s="101">
        <v>0</v>
      </c>
      <c r="K353" s="46">
        <v>46447</v>
      </c>
    </row>
    <row r="354" spans="1:12" s="28" customFormat="1" ht="39.6" x14ac:dyDescent="0.3">
      <c r="A354" s="53">
        <v>309</v>
      </c>
      <c r="B354" s="254"/>
      <c r="C354" s="17" t="s">
        <v>529</v>
      </c>
      <c r="D354" s="17" t="s">
        <v>459</v>
      </c>
      <c r="E354" s="1" t="s">
        <v>19</v>
      </c>
      <c r="F354" s="109">
        <v>104</v>
      </c>
      <c r="G354" s="200">
        <v>0</v>
      </c>
      <c r="H354" s="101">
        <v>0</v>
      </c>
      <c r="I354" s="109">
        <v>104</v>
      </c>
      <c r="J354" s="101">
        <v>0</v>
      </c>
      <c r="K354" s="46">
        <v>46661</v>
      </c>
    </row>
    <row r="355" spans="1:12" s="28" customFormat="1" ht="26.4" x14ac:dyDescent="0.3">
      <c r="A355" s="53">
        <v>310</v>
      </c>
      <c r="B355" s="254"/>
      <c r="C355" s="17" t="s">
        <v>530</v>
      </c>
      <c r="D355" s="17" t="s">
        <v>531</v>
      </c>
      <c r="E355" s="1" t="s">
        <v>19</v>
      </c>
      <c r="F355" s="101">
        <v>648</v>
      </c>
      <c r="G355" s="200">
        <v>0</v>
      </c>
      <c r="H355" s="101">
        <v>0</v>
      </c>
      <c r="I355" s="101">
        <v>648</v>
      </c>
      <c r="J355" s="101">
        <v>0</v>
      </c>
      <c r="K355" s="46">
        <v>46631</v>
      </c>
    </row>
    <row r="356" spans="1:12" s="28" customFormat="1" ht="26.4" x14ac:dyDescent="0.3">
      <c r="A356" s="53">
        <v>311</v>
      </c>
      <c r="B356" s="255"/>
      <c r="C356" s="17" t="s">
        <v>532</v>
      </c>
      <c r="D356" s="17" t="s">
        <v>434</v>
      </c>
      <c r="E356" s="1" t="s">
        <v>19</v>
      </c>
      <c r="F356" s="101">
        <v>75.3</v>
      </c>
      <c r="G356" s="200">
        <v>0</v>
      </c>
      <c r="H356" s="101">
        <v>0</v>
      </c>
      <c r="I356" s="101">
        <v>75.3</v>
      </c>
      <c r="J356" s="101">
        <v>0</v>
      </c>
      <c r="K356" s="46">
        <v>46388</v>
      </c>
    </row>
    <row r="357" spans="1:12" s="32" customFormat="1" ht="26.4" customHeight="1" x14ac:dyDescent="0.3">
      <c r="A357" s="240" t="s">
        <v>547</v>
      </c>
      <c r="B357" s="240"/>
      <c r="C357" s="240"/>
      <c r="D357" s="31"/>
      <c r="E357" s="31"/>
      <c r="F357" s="134">
        <f>SUM(F336:F356)</f>
        <v>11353.6</v>
      </c>
      <c r="G357" s="134">
        <f t="shared" ref="G357:I357" si="48">SUM(G336:G356)</f>
        <v>0</v>
      </c>
      <c r="H357" s="134">
        <f t="shared" si="48"/>
        <v>10526.300000000001</v>
      </c>
      <c r="I357" s="134">
        <f t="shared" si="48"/>
        <v>827.3</v>
      </c>
      <c r="J357" s="134">
        <f>SUM(J336:J356)</f>
        <v>0</v>
      </c>
      <c r="K357" s="31"/>
      <c r="L357" s="58"/>
    </row>
    <row r="358" spans="1:12" s="32" customFormat="1" ht="27" customHeight="1" x14ac:dyDescent="0.3">
      <c r="A358" s="29">
        <v>312</v>
      </c>
      <c r="B358" s="253" t="s">
        <v>455</v>
      </c>
      <c r="C358" s="17" t="s">
        <v>533</v>
      </c>
      <c r="D358" s="48" t="s">
        <v>457</v>
      </c>
      <c r="E358" s="8" t="s">
        <v>19</v>
      </c>
      <c r="F358" s="200">
        <v>191</v>
      </c>
      <c r="G358" s="232">
        <v>0</v>
      </c>
      <c r="H358" s="194">
        <v>0</v>
      </c>
      <c r="I358" s="200">
        <v>191</v>
      </c>
      <c r="J358" s="194">
        <v>0</v>
      </c>
      <c r="K358" s="46">
        <v>46753</v>
      </c>
    </row>
    <row r="359" spans="1:12" s="32" customFormat="1" ht="58.8" customHeight="1" x14ac:dyDescent="0.3">
      <c r="A359" s="13">
        <v>313</v>
      </c>
      <c r="B359" s="254"/>
      <c r="C359" s="17" t="s">
        <v>534</v>
      </c>
      <c r="D359" s="17" t="s">
        <v>461</v>
      </c>
      <c r="E359" s="1" t="s">
        <v>19</v>
      </c>
      <c r="F359" s="200">
        <v>126.04</v>
      </c>
      <c r="G359" s="232">
        <v>0</v>
      </c>
      <c r="H359" s="194">
        <v>0</v>
      </c>
      <c r="I359" s="200">
        <v>126.04</v>
      </c>
      <c r="J359" s="194">
        <v>0</v>
      </c>
      <c r="K359" s="46">
        <v>46753</v>
      </c>
    </row>
    <row r="360" spans="1:12" s="32" customFormat="1" ht="60" customHeight="1" x14ac:dyDescent="0.3">
      <c r="A360" s="54">
        <v>314</v>
      </c>
      <c r="B360" s="254"/>
      <c r="C360" s="17" t="s">
        <v>535</v>
      </c>
      <c r="D360" s="17" t="s">
        <v>536</v>
      </c>
      <c r="E360" s="1" t="s">
        <v>19</v>
      </c>
      <c r="F360" s="200">
        <v>2703.66</v>
      </c>
      <c r="G360" s="232">
        <v>0</v>
      </c>
      <c r="H360" s="194">
        <v>0</v>
      </c>
      <c r="I360" s="200">
        <v>2703.66</v>
      </c>
      <c r="J360" s="194">
        <v>0</v>
      </c>
      <c r="K360" s="46">
        <v>46753</v>
      </c>
    </row>
    <row r="361" spans="1:12" s="32" customFormat="1" ht="31.2" customHeight="1" x14ac:dyDescent="0.3">
      <c r="A361" s="53">
        <v>315</v>
      </c>
      <c r="B361" s="254"/>
      <c r="C361" s="17" t="s">
        <v>537</v>
      </c>
      <c r="D361" s="17" t="s">
        <v>465</v>
      </c>
      <c r="E361" s="1" t="s">
        <v>19</v>
      </c>
      <c r="F361" s="200">
        <v>47.7</v>
      </c>
      <c r="G361" s="232">
        <v>0</v>
      </c>
      <c r="H361" s="194">
        <v>0</v>
      </c>
      <c r="I361" s="200">
        <v>47.7</v>
      </c>
      <c r="J361" s="194">
        <v>0</v>
      </c>
      <c r="K361" s="46">
        <v>46784</v>
      </c>
    </row>
    <row r="362" spans="1:12" s="32" customFormat="1" ht="43.8" customHeight="1" x14ac:dyDescent="0.3">
      <c r="A362" s="54">
        <v>316</v>
      </c>
      <c r="B362" s="254"/>
      <c r="C362" s="17" t="s">
        <v>538</v>
      </c>
      <c r="D362" s="17" t="s">
        <v>539</v>
      </c>
      <c r="E362" s="1" t="s">
        <v>19</v>
      </c>
      <c r="F362" s="200">
        <v>263.02</v>
      </c>
      <c r="G362" s="232">
        <v>0</v>
      </c>
      <c r="H362" s="194">
        <v>0</v>
      </c>
      <c r="I362" s="200">
        <v>263.02</v>
      </c>
      <c r="J362" s="194">
        <v>0</v>
      </c>
      <c r="K362" s="46">
        <v>46784</v>
      </c>
    </row>
    <row r="363" spans="1:12" s="32" customFormat="1" ht="30.6" customHeight="1" x14ac:dyDescent="0.3">
      <c r="A363" s="53">
        <v>317</v>
      </c>
      <c r="B363" s="254"/>
      <c r="C363" s="17" t="s">
        <v>540</v>
      </c>
      <c r="D363" s="17" t="s">
        <v>182</v>
      </c>
      <c r="E363" s="1" t="s">
        <v>19</v>
      </c>
      <c r="F363" s="200">
        <v>36.4</v>
      </c>
      <c r="G363" s="232">
        <v>0</v>
      </c>
      <c r="H363" s="194">
        <v>0</v>
      </c>
      <c r="I363" s="200">
        <v>36.4</v>
      </c>
      <c r="J363" s="194">
        <v>0</v>
      </c>
      <c r="K363" s="46">
        <v>46784</v>
      </c>
    </row>
    <row r="364" spans="1:12" s="32" customFormat="1" ht="27.6" customHeight="1" x14ac:dyDescent="0.3">
      <c r="A364" s="54">
        <v>318</v>
      </c>
      <c r="B364" s="254"/>
      <c r="C364" s="17" t="s">
        <v>541</v>
      </c>
      <c r="D364" s="17" t="s">
        <v>516</v>
      </c>
      <c r="E364" s="1" t="s">
        <v>19</v>
      </c>
      <c r="F364" s="200">
        <v>63.47</v>
      </c>
      <c r="G364" s="232">
        <v>0</v>
      </c>
      <c r="H364" s="194">
        <v>0</v>
      </c>
      <c r="I364" s="200">
        <v>63.47</v>
      </c>
      <c r="J364" s="194">
        <v>0</v>
      </c>
      <c r="K364" s="46">
        <v>46784</v>
      </c>
    </row>
    <row r="365" spans="1:12" s="32" customFormat="1" ht="30.6" customHeight="1" x14ac:dyDescent="0.3">
      <c r="A365" s="53">
        <v>319</v>
      </c>
      <c r="B365" s="254"/>
      <c r="C365" s="17" t="s">
        <v>542</v>
      </c>
      <c r="D365" s="17" t="s">
        <v>518</v>
      </c>
      <c r="E365" s="1" t="s">
        <v>19</v>
      </c>
      <c r="F365" s="200">
        <v>71.97</v>
      </c>
      <c r="G365" s="232">
        <v>0</v>
      </c>
      <c r="H365" s="194">
        <v>0</v>
      </c>
      <c r="I365" s="200">
        <v>71.97</v>
      </c>
      <c r="J365" s="194">
        <v>0</v>
      </c>
      <c r="K365" s="46">
        <v>46784</v>
      </c>
    </row>
    <row r="366" spans="1:12" s="32" customFormat="1" ht="48" customHeight="1" x14ac:dyDescent="0.3">
      <c r="A366" s="54">
        <v>320</v>
      </c>
      <c r="B366" s="254"/>
      <c r="C366" s="17" t="s">
        <v>543</v>
      </c>
      <c r="D366" s="17" t="s">
        <v>467</v>
      </c>
      <c r="E366" s="1" t="s">
        <v>19</v>
      </c>
      <c r="F366" s="200">
        <v>97.79</v>
      </c>
      <c r="G366" s="232">
        <v>0</v>
      </c>
      <c r="H366" s="194">
        <v>0</v>
      </c>
      <c r="I366" s="200">
        <v>97.79</v>
      </c>
      <c r="J366" s="194">
        <v>0</v>
      </c>
      <c r="K366" s="46">
        <v>46813</v>
      </c>
    </row>
    <row r="367" spans="1:12" s="32" customFormat="1" ht="48" customHeight="1" x14ac:dyDescent="0.3">
      <c r="A367" s="53">
        <v>321</v>
      </c>
      <c r="B367" s="254"/>
      <c r="C367" s="17" t="s">
        <v>544</v>
      </c>
      <c r="D367" s="17" t="s">
        <v>467</v>
      </c>
      <c r="E367" s="1" t="s">
        <v>19</v>
      </c>
      <c r="F367" s="200">
        <v>85.66</v>
      </c>
      <c r="G367" s="232">
        <v>0</v>
      </c>
      <c r="H367" s="194">
        <v>0</v>
      </c>
      <c r="I367" s="200">
        <v>85.66</v>
      </c>
      <c r="J367" s="194">
        <v>0</v>
      </c>
      <c r="K367" s="46">
        <v>46813</v>
      </c>
    </row>
    <row r="368" spans="1:12" s="32" customFormat="1" ht="33.6" customHeight="1" x14ac:dyDescent="0.3">
      <c r="A368" s="54">
        <v>322</v>
      </c>
      <c r="B368" s="255"/>
      <c r="C368" s="17" t="s">
        <v>545</v>
      </c>
      <c r="D368" s="17" t="s">
        <v>469</v>
      </c>
      <c r="E368" s="1" t="s">
        <v>19</v>
      </c>
      <c r="F368" s="200">
        <v>159.83000000000001</v>
      </c>
      <c r="G368" s="232">
        <v>0</v>
      </c>
      <c r="H368" s="194">
        <v>0</v>
      </c>
      <c r="I368" s="200">
        <v>159.83000000000001</v>
      </c>
      <c r="J368" s="194">
        <v>0</v>
      </c>
      <c r="K368" s="46">
        <v>46813</v>
      </c>
    </row>
    <row r="369" spans="1:12" s="32" customFormat="1" ht="28.8" customHeight="1" x14ac:dyDescent="0.3">
      <c r="A369" s="240" t="s">
        <v>548</v>
      </c>
      <c r="B369" s="240"/>
      <c r="C369" s="240"/>
      <c r="D369" s="31"/>
      <c r="E369" s="31"/>
      <c r="F369" s="134">
        <f>SUM(F358:F368)</f>
        <v>3846.5399999999991</v>
      </c>
      <c r="G369" s="134">
        <f t="shared" ref="G369:J369" si="49">SUM(G358:G368)</f>
        <v>0</v>
      </c>
      <c r="H369" s="134">
        <f t="shared" si="49"/>
        <v>0</v>
      </c>
      <c r="I369" s="134">
        <f t="shared" si="49"/>
        <v>3846.5399999999991</v>
      </c>
      <c r="J369" s="134">
        <f t="shared" si="49"/>
        <v>0</v>
      </c>
      <c r="K369" s="31"/>
    </row>
    <row r="370" spans="1:12" s="28" customFormat="1" ht="28.2" customHeight="1" x14ac:dyDescent="0.3">
      <c r="A370" s="13">
        <v>323</v>
      </c>
      <c r="B370" s="242" t="s">
        <v>549</v>
      </c>
      <c r="C370" s="1" t="s">
        <v>550</v>
      </c>
      <c r="D370" s="1" t="s">
        <v>551</v>
      </c>
      <c r="E370" s="1" t="s">
        <v>19</v>
      </c>
      <c r="F370" s="193">
        <v>198.21</v>
      </c>
      <c r="G370" s="193">
        <v>198.21</v>
      </c>
      <c r="H370" s="101">
        <v>0</v>
      </c>
      <c r="I370" s="101">
        <v>0</v>
      </c>
      <c r="J370" s="101">
        <v>0</v>
      </c>
      <c r="K370" s="16" t="s">
        <v>122</v>
      </c>
    </row>
    <row r="371" spans="1:12" s="28" customFormat="1" ht="34.799999999999997" customHeight="1" x14ac:dyDescent="0.3">
      <c r="A371" s="13">
        <v>324</v>
      </c>
      <c r="B371" s="243"/>
      <c r="C371" s="1" t="s">
        <v>552</v>
      </c>
      <c r="D371" s="1" t="s">
        <v>553</v>
      </c>
      <c r="E371" s="1" t="s">
        <v>19</v>
      </c>
      <c r="F371" s="193">
        <v>2028</v>
      </c>
      <c r="G371" s="193">
        <v>2028</v>
      </c>
      <c r="H371" s="101">
        <v>0</v>
      </c>
      <c r="I371" s="101">
        <v>0</v>
      </c>
      <c r="J371" s="101">
        <v>0</v>
      </c>
      <c r="K371" s="16" t="s">
        <v>122</v>
      </c>
    </row>
    <row r="372" spans="1:12" s="28" customFormat="1" ht="25.2" customHeight="1" x14ac:dyDescent="0.3">
      <c r="A372" s="53">
        <v>325</v>
      </c>
      <c r="B372" s="243"/>
      <c r="C372" s="1" t="s">
        <v>554</v>
      </c>
      <c r="D372" s="1" t="s">
        <v>165</v>
      </c>
      <c r="E372" s="1" t="s">
        <v>19</v>
      </c>
      <c r="F372" s="193">
        <v>708.23</v>
      </c>
      <c r="G372" s="193">
        <v>708.23</v>
      </c>
      <c r="H372" s="101">
        <v>0</v>
      </c>
      <c r="I372" s="101">
        <v>0</v>
      </c>
      <c r="J372" s="101">
        <v>0</v>
      </c>
      <c r="K372" s="16" t="s">
        <v>555</v>
      </c>
    </row>
    <row r="373" spans="1:12" s="28" customFormat="1" ht="42.6" customHeight="1" x14ac:dyDescent="0.3">
      <c r="A373" s="53">
        <v>326</v>
      </c>
      <c r="B373" s="243"/>
      <c r="C373" s="1" t="s">
        <v>556</v>
      </c>
      <c r="D373" s="1" t="s">
        <v>557</v>
      </c>
      <c r="E373" s="1" t="s">
        <v>19</v>
      </c>
      <c r="F373" s="193">
        <v>2975</v>
      </c>
      <c r="G373" s="193">
        <v>0</v>
      </c>
      <c r="H373" s="193">
        <v>2975</v>
      </c>
      <c r="I373" s="101">
        <v>0</v>
      </c>
      <c r="J373" s="101">
        <v>0</v>
      </c>
      <c r="K373" s="16" t="s">
        <v>222</v>
      </c>
    </row>
    <row r="374" spans="1:12" s="28" customFormat="1" ht="57.6" customHeight="1" x14ac:dyDescent="0.3">
      <c r="A374" s="53">
        <v>327</v>
      </c>
      <c r="B374" s="243"/>
      <c r="C374" s="1" t="s">
        <v>558</v>
      </c>
      <c r="D374" s="1" t="s">
        <v>559</v>
      </c>
      <c r="E374" s="1" t="s">
        <v>19</v>
      </c>
      <c r="F374" s="193">
        <v>6046.29</v>
      </c>
      <c r="G374" s="193">
        <v>0</v>
      </c>
      <c r="H374" s="193">
        <v>6046.29</v>
      </c>
      <c r="I374" s="101">
        <v>0</v>
      </c>
      <c r="J374" s="101">
        <v>0</v>
      </c>
      <c r="K374" s="16" t="s">
        <v>123</v>
      </c>
    </row>
    <row r="375" spans="1:12" s="28" customFormat="1" ht="35.4" customHeight="1" x14ac:dyDescent="0.3">
      <c r="A375" s="53">
        <v>328</v>
      </c>
      <c r="B375" s="243"/>
      <c r="C375" s="14" t="s">
        <v>560</v>
      </c>
      <c r="D375" s="14" t="s">
        <v>429</v>
      </c>
      <c r="E375" s="1" t="s">
        <v>19</v>
      </c>
      <c r="F375" s="193">
        <v>841.06</v>
      </c>
      <c r="G375" s="193">
        <v>0</v>
      </c>
      <c r="H375" s="193">
        <v>841.06</v>
      </c>
      <c r="I375" s="101">
        <v>0</v>
      </c>
      <c r="J375" s="101">
        <v>0</v>
      </c>
      <c r="K375" s="16" t="s">
        <v>329</v>
      </c>
    </row>
    <row r="376" spans="1:12" s="28" customFormat="1" ht="55.2" customHeight="1" x14ac:dyDescent="0.3">
      <c r="A376" s="53">
        <v>329</v>
      </c>
      <c r="B376" s="243"/>
      <c r="C376" s="14" t="s">
        <v>561</v>
      </c>
      <c r="D376" s="14" t="s">
        <v>562</v>
      </c>
      <c r="E376" s="1" t="s">
        <v>19</v>
      </c>
      <c r="F376" s="193">
        <v>621.12</v>
      </c>
      <c r="G376" s="193">
        <v>0</v>
      </c>
      <c r="H376" s="193">
        <v>621.12</v>
      </c>
      <c r="I376" s="101">
        <v>0</v>
      </c>
      <c r="J376" s="101">
        <v>0</v>
      </c>
      <c r="K376" s="16" t="s">
        <v>123</v>
      </c>
    </row>
    <row r="377" spans="1:12" s="28" customFormat="1" ht="45" customHeight="1" x14ac:dyDescent="0.3">
      <c r="A377" s="53">
        <v>330</v>
      </c>
      <c r="B377" s="244"/>
      <c r="C377" s="14" t="s">
        <v>563</v>
      </c>
      <c r="D377" s="14" t="s">
        <v>564</v>
      </c>
      <c r="E377" s="1" t="s">
        <v>19</v>
      </c>
      <c r="F377" s="193">
        <v>315</v>
      </c>
      <c r="G377" s="193">
        <v>0</v>
      </c>
      <c r="H377" s="193">
        <v>315</v>
      </c>
      <c r="I377" s="101">
        <v>0</v>
      </c>
      <c r="J377" s="101">
        <v>0</v>
      </c>
      <c r="K377" s="16" t="s">
        <v>222</v>
      </c>
    </row>
    <row r="378" spans="1:12" s="32" customFormat="1" ht="31.8" customHeight="1" x14ac:dyDescent="0.3">
      <c r="A378" s="250" t="s">
        <v>578</v>
      </c>
      <c r="B378" s="251"/>
      <c r="C378" s="252"/>
      <c r="D378" s="34"/>
      <c r="E378" s="34"/>
      <c r="F378" s="134">
        <f>SUM(F370:F377)</f>
        <v>13732.91</v>
      </c>
      <c r="G378" s="134">
        <f>SUM(G370:G376)</f>
        <v>2934.44</v>
      </c>
      <c r="H378" s="134">
        <f>SUM(H373:H377)</f>
        <v>10798.470000000001</v>
      </c>
      <c r="I378" s="134">
        <f>SUM(I370:I372)</f>
        <v>0</v>
      </c>
      <c r="J378" s="134">
        <f>SUM(J370:J372)</f>
        <v>0</v>
      </c>
      <c r="K378" s="31"/>
      <c r="L378" s="58"/>
    </row>
    <row r="379" spans="1:12" s="28" customFormat="1" ht="26.4" x14ac:dyDescent="0.3">
      <c r="A379" s="13">
        <v>331</v>
      </c>
      <c r="B379" s="242" t="s">
        <v>549</v>
      </c>
      <c r="C379" s="13" t="s">
        <v>565</v>
      </c>
      <c r="D379" s="42" t="s">
        <v>429</v>
      </c>
      <c r="E379" s="1" t="s">
        <v>19</v>
      </c>
      <c r="F379" s="109">
        <v>1038.23</v>
      </c>
      <c r="G379" s="109">
        <v>0</v>
      </c>
      <c r="H379" s="101">
        <v>0</v>
      </c>
      <c r="I379" s="109">
        <v>1038.23</v>
      </c>
      <c r="J379" s="101">
        <v>0</v>
      </c>
      <c r="K379" s="16" t="s">
        <v>259</v>
      </c>
    </row>
    <row r="380" spans="1:12" s="28" customFormat="1" ht="52.8" x14ac:dyDescent="0.3">
      <c r="A380" s="13">
        <v>332</v>
      </c>
      <c r="B380" s="243"/>
      <c r="C380" s="16" t="s">
        <v>566</v>
      </c>
      <c r="D380" s="42" t="s">
        <v>562</v>
      </c>
      <c r="E380" s="1" t="s">
        <v>19</v>
      </c>
      <c r="F380" s="109">
        <v>749.85</v>
      </c>
      <c r="G380" s="109">
        <v>0</v>
      </c>
      <c r="H380" s="101">
        <v>0</v>
      </c>
      <c r="I380" s="109">
        <v>749.85</v>
      </c>
      <c r="J380" s="101">
        <v>0</v>
      </c>
      <c r="K380" s="16" t="s">
        <v>127</v>
      </c>
    </row>
    <row r="381" spans="1:12" s="28" customFormat="1" ht="43.8" customHeight="1" x14ac:dyDescent="0.3">
      <c r="A381" s="53">
        <v>333</v>
      </c>
      <c r="B381" s="243"/>
      <c r="C381" s="16" t="s">
        <v>567</v>
      </c>
      <c r="D381" s="13" t="s">
        <v>564</v>
      </c>
      <c r="E381" s="1" t="s">
        <v>19</v>
      </c>
      <c r="F381" s="101">
        <v>315</v>
      </c>
      <c r="G381" s="109">
        <v>0</v>
      </c>
      <c r="H381" s="101">
        <v>0</v>
      </c>
      <c r="I381" s="101">
        <v>315</v>
      </c>
      <c r="J381" s="101">
        <v>0</v>
      </c>
      <c r="K381" s="16" t="s">
        <v>568</v>
      </c>
    </row>
    <row r="382" spans="1:12" s="28" customFormat="1" ht="32.4" customHeight="1" x14ac:dyDescent="0.3">
      <c r="A382" s="53">
        <v>334</v>
      </c>
      <c r="B382" s="243"/>
      <c r="C382" s="16" t="s">
        <v>569</v>
      </c>
      <c r="D382" s="13" t="s">
        <v>553</v>
      </c>
      <c r="E382" s="1" t="s">
        <v>19</v>
      </c>
      <c r="F382" s="101">
        <v>2028</v>
      </c>
      <c r="G382" s="109">
        <v>0</v>
      </c>
      <c r="H382" s="101">
        <v>2028</v>
      </c>
      <c r="I382" s="101">
        <v>0</v>
      </c>
      <c r="J382" s="101">
        <v>0</v>
      </c>
      <c r="K382" s="16" t="s">
        <v>126</v>
      </c>
    </row>
    <row r="383" spans="1:12" s="28" customFormat="1" ht="30.6" customHeight="1" x14ac:dyDescent="0.3">
      <c r="A383" s="53">
        <v>335</v>
      </c>
      <c r="B383" s="243"/>
      <c r="C383" s="16" t="s">
        <v>570</v>
      </c>
      <c r="D383" s="13" t="s">
        <v>165</v>
      </c>
      <c r="E383" s="1" t="s">
        <v>19</v>
      </c>
      <c r="F383" s="101">
        <v>924.17</v>
      </c>
      <c r="G383" s="109">
        <v>0</v>
      </c>
      <c r="H383" s="101">
        <v>924.17</v>
      </c>
      <c r="I383" s="101">
        <v>0</v>
      </c>
      <c r="J383" s="101">
        <v>0</v>
      </c>
      <c r="K383" s="16" t="s">
        <v>571</v>
      </c>
    </row>
    <row r="384" spans="1:12" s="28" customFormat="1" ht="29.4" customHeight="1" x14ac:dyDescent="0.3">
      <c r="A384" s="53">
        <v>336</v>
      </c>
      <c r="B384" s="243"/>
      <c r="C384" s="16" t="s">
        <v>572</v>
      </c>
      <c r="D384" s="16" t="s">
        <v>551</v>
      </c>
      <c r="E384" s="1" t="s">
        <v>19</v>
      </c>
      <c r="F384" s="101">
        <v>198.21</v>
      </c>
      <c r="G384" s="109">
        <v>0</v>
      </c>
      <c r="H384" s="101">
        <v>198.21</v>
      </c>
      <c r="I384" s="101">
        <v>0</v>
      </c>
      <c r="J384" s="101">
        <v>0</v>
      </c>
      <c r="K384" s="16" t="s">
        <v>126</v>
      </c>
    </row>
    <row r="385" spans="1:12" s="28" customFormat="1" ht="54" customHeight="1" x14ac:dyDescent="0.3">
      <c r="A385" s="53">
        <v>337</v>
      </c>
      <c r="B385" s="244"/>
      <c r="C385" s="16" t="s">
        <v>573</v>
      </c>
      <c r="D385" s="16" t="s">
        <v>559</v>
      </c>
      <c r="E385" s="1" t="s">
        <v>19</v>
      </c>
      <c r="F385" s="101">
        <v>7476.39</v>
      </c>
      <c r="G385" s="109">
        <v>0</v>
      </c>
      <c r="H385" s="101">
        <v>0</v>
      </c>
      <c r="I385" s="101">
        <v>7476.39</v>
      </c>
      <c r="J385" s="101">
        <v>0</v>
      </c>
      <c r="K385" s="16" t="s">
        <v>127</v>
      </c>
    </row>
    <row r="386" spans="1:12" s="32" customFormat="1" ht="28.2" customHeight="1" x14ac:dyDescent="0.3">
      <c r="A386" s="240" t="s">
        <v>579</v>
      </c>
      <c r="B386" s="240"/>
      <c r="C386" s="240"/>
      <c r="D386" s="31"/>
      <c r="E386" s="31"/>
      <c r="F386" s="134">
        <f>SUM(F379:F385)</f>
        <v>12729.85</v>
      </c>
      <c r="G386" s="134">
        <f t="shared" ref="G386:J386" si="50">SUM(G379:G385)</f>
        <v>0</v>
      </c>
      <c r="H386" s="134">
        <f t="shared" si="50"/>
        <v>3150.38</v>
      </c>
      <c r="I386" s="134">
        <f t="shared" si="50"/>
        <v>9579.4700000000012</v>
      </c>
      <c r="J386" s="134">
        <f t="shared" si="50"/>
        <v>0</v>
      </c>
      <c r="K386" s="31"/>
      <c r="L386" s="58"/>
    </row>
    <row r="387" spans="1:12" s="28" customFormat="1" ht="26.4" x14ac:dyDescent="0.3">
      <c r="A387" s="13">
        <v>338</v>
      </c>
      <c r="B387" s="242" t="s">
        <v>549</v>
      </c>
      <c r="C387" s="13" t="s">
        <v>574</v>
      </c>
      <c r="D387" s="13" t="s">
        <v>553</v>
      </c>
      <c r="E387" s="1" t="s">
        <v>19</v>
      </c>
      <c r="F387" s="109">
        <v>2028</v>
      </c>
      <c r="G387" s="109">
        <v>0</v>
      </c>
      <c r="H387" s="101">
        <v>0</v>
      </c>
      <c r="I387" s="109">
        <v>2028</v>
      </c>
      <c r="J387" s="101">
        <v>0</v>
      </c>
      <c r="K387" s="16" t="s">
        <v>130</v>
      </c>
    </row>
    <row r="388" spans="1:12" s="28" customFormat="1" ht="26.4" x14ac:dyDescent="0.3">
      <c r="A388" s="13">
        <v>339</v>
      </c>
      <c r="B388" s="243"/>
      <c r="C388" s="16" t="s">
        <v>575</v>
      </c>
      <c r="D388" s="13" t="s">
        <v>165</v>
      </c>
      <c r="E388" s="1" t="s">
        <v>19</v>
      </c>
      <c r="F388" s="109">
        <v>924.17</v>
      </c>
      <c r="G388" s="109">
        <v>0</v>
      </c>
      <c r="H388" s="101">
        <v>0</v>
      </c>
      <c r="I388" s="109">
        <v>924.17</v>
      </c>
      <c r="J388" s="101">
        <v>0</v>
      </c>
      <c r="K388" s="16" t="s">
        <v>576</v>
      </c>
    </row>
    <row r="389" spans="1:12" s="28" customFormat="1" ht="37.799999999999997" customHeight="1" x14ac:dyDescent="0.3">
      <c r="A389" s="13">
        <v>340</v>
      </c>
      <c r="B389" s="244"/>
      <c r="C389" s="16" t="s">
        <v>577</v>
      </c>
      <c r="D389" s="13" t="s">
        <v>551</v>
      </c>
      <c r="E389" s="1" t="s">
        <v>19</v>
      </c>
      <c r="F389" s="101">
        <v>198.21</v>
      </c>
      <c r="G389" s="109">
        <v>0</v>
      </c>
      <c r="H389" s="101">
        <v>0</v>
      </c>
      <c r="I389" s="101">
        <v>198.21</v>
      </c>
      <c r="J389" s="101">
        <v>0</v>
      </c>
      <c r="K389" s="16" t="s">
        <v>130</v>
      </c>
    </row>
    <row r="390" spans="1:12" s="57" customFormat="1" ht="30.6" customHeight="1" x14ac:dyDescent="0.3">
      <c r="A390" s="240" t="s">
        <v>580</v>
      </c>
      <c r="B390" s="240"/>
      <c r="C390" s="240"/>
      <c r="D390" s="56"/>
      <c r="E390" s="56"/>
      <c r="F390" s="134">
        <f>SUM(F387:F389)</f>
        <v>3150.38</v>
      </c>
      <c r="G390" s="134">
        <f t="shared" ref="G390:J390" si="51">SUM(G387:G389)</f>
        <v>0</v>
      </c>
      <c r="H390" s="134">
        <f t="shared" si="51"/>
        <v>0</v>
      </c>
      <c r="I390" s="134">
        <f t="shared" si="51"/>
        <v>3150.38</v>
      </c>
      <c r="J390" s="134">
        <f t="shared" si="51"/>
        <v>0</v>
      </c>
      <c r="K390" s="56"/>
    </row>
    <row r="391" spans="1:12" s="28" customFormat="1" ht="24" customHeight="1" x14ac:dyDescent="0.3">
      <c r="A391" s="13">
        <v>341</v>
      </c>
      <c r="B391" s="242" t="s">
        <v>581</v>
      </c>
      <c r="C391" s="1" t="s">
        <v>582</v>
      </c>
      <c r="D391" s="1" t="s">
        <v>165</v>
      </c>
      <c r="E391" s="1" t="s">
        <v>19</v>
      </c>
      <c r="F391" s="193">
        <v>1077.27</v>
      </c>
      <c r="G391" s="193">
        <v>0</v>
      </c>
      <c r="H391" s="193">
        <v>1077.27</v>
      </c>
      <c r="I391" s="101">
        <v>0</v>
      </c>
      <c r="J391" s="101">
        <v>0</v>
      </c>
      <c r="K391" s="16" t="s">
        <v>328</v>
      </c>
    </row>
    <row r="392" spans="1:12" s="28" customFormat="1" ht="45" customHeight="1" x14ac:dyDescent="0.3">
      <c r="A392" s="13">
        <v>342</v>
      </c>
      <c r="B392" s="243"/>
      <c r="C392" s="1" t="s">
        <v>583</v>
      </c>
      <c r="D392" s="1" t="s">
        <v>584</v>
      </c>
      <c r="E392" s="1" t="s">
        <v>19</v>
      </c>
      <c r="F392" s="193">
        <v>560</v>
      </c>
      <c r="G392" s="193">
        <v>0</v>
      </c>
      <c r="H392" s="193">
        <v>560</v>
      </c>
      <c r="I392" s="101">
        <v>0</v>
      </c>
      <c r="J392" s="101">
        <v>0</v>
      </c>
      <c r="K392" s="16" t="s">
        <v>121</v>
      </c>
    </row>
    <row r="393" spans="1:12" s="28" customFormat="1" ht="36" customHeight="1" x14ac:dyDescent="0.3">
      <c r="A393" s="53">
        <v>343</v>
      </c>
      <c r="B393" s="243"/>
      <c r="C393" s="1" t="s">
        <v>585</v>
      </c>
      <c r="D393" s="1" t="s">
        <v>465</v>
      </c>
      <c r="E393" s="1" t="s">
        <v>19</v>
      </c>
      <c r="F393" s="193">
        <v>266.5</v>
      </c>
      <c r="G393" s="193">
        <v>0</v>
      </c>
      <c r="H393" s="193">
        <v>266.5</v>
      </c>
      <c r="I393" s="101">
        <v>0</v>
      </c>
      <c r="J393" s="101">
        <v>0</v>
      </c>
      <c r="K393" s="16" t="s">
        <v>328</v>
      </c>
    </row>
    <row r="394" spans="1:12" s="28" customFormat="1" ht="34.799999999999997" customHeight="1" x14ac:dyDescent="0.3">
      <c r="A394" s="53">
        <v>344</v>
      </c>
      <c r="B394" s="243"/>
      <c r="C394" s="1" t="s">
        <v>586</v>
      </c>
      <c r="D394" s="1" t="s">
        <v>587</v>
      </c>
      <c r="E394" s="1" t="s">
        <v>19</v>
      </c>
      <c r="F394" s="193">
        <v>71.89</v>
      </c>
      <c r="G394" s="193">
        <v>0</v>
      </c>
      <c r="H394" s="193">
        <v>71.89</v>
      </c>
      <c r="I394" s="101">
        <v>0</v>
      </c>
      <c r="J394" s="101">
        <v>0</v>
      </c>
      <c r="K394" s="16" t="s">
        <v>328</v>
      </c>
    </row>
    <row r="395" spans="1:12" s="28" customFormat="1" ht="31.2" customHeight="1" x14ac:dyDescent="0.3">
      <c r="A395" s="53">
        <v>345</v>
      </c>
      <c r="B395" s="243"/>
      <c r="C395" s="1" t="s">
        <v>588</v>
      </c>
      <c r="D395" s="1" t="s">
        <v>589</v>
      </c>
      <c r="E395" s="1" t="s">
        <v>19</v>
      </c>
      <c r="F395" s="193">
        <v>288.70999999999998</v>
      </c>
      <c r="G395" s="193">
        <v>0</v>
      </c>
      <c r="H395" s="193">
        <v>288.70999999999998</v>
      </c>
      <c r="I395" s="101">
        <v>0</v>
      </c>
      <c r="J395" s="101">
        <v>0</v>
      </c>
      <c r="K395" s="16" t="s">
        <v>328</v>
      </c>
    </row>
    <row r="396" spans="1:12" s="28" customFormat="1" ht="29.4" customHeight="1" x14ac:dyDescent="0.3">
      <c r="A396" s="53">
        <v>346</v>
      </c>
      <c r="B396" s="243"/>
      <c r="C396" s="1" t="s">
        <v>590</v>
      </c>
      <c r="D396" s="1" t="s">
        <v>591</v>
      </c>
      <c r="E396" s="1" t="s">
        <v>19</v>
      </c>
      <c r="F396" s="193">
        <v>465.58</v>
      </c>
      <c r="G396" s="193">
        <v>0</v>
      </c>
      <c r="H396" s="193">
        <v>465.58</v>
      </c>
      <c r="I396" s="101">
        <v>0</v>
      </c>
      <c r="J396" s="101">
        <v>0</v>
      </c>
      <c r="K396" s="16" t="s">
        <v>328</v>
      </c>
    </row>
    <row r="397" spans="1:12" s="28" customFormat="1" ht="59.25" customHeight="1" x14ac:dyDescent="0.3">
      <c r="A397" s="53">
        <v>347</v>
      </c>
      <c r="B397" s="243"/>
      <c r="C397" s="1" t="s">
        <v>592</v>
      </c>
      <c r="D397" s="1" t="s">
        <v>593</v>
      </c>
      <c r="E397" s="1" t="s">
        <v>19</v>
      </c>
      <c r="F397" s="193">
        <v>210</v>
      </c>
      <c r="G397" s="193">
        <v>0</v>
      </c>
      <c r="H397" s="193">
        <v>210</v>
      </c>
      <c r="I397" s="101">
        <v>0</v>
      </c>
      <c r="J397" s="101">
        <v>0</v>
      </c>
      <c r="K397" s="16" t="s">
        <v>328</v>
      </c>
    </row>
    <row r="398" spans="1:12" s="28" customFormat="1" ht="45" customHeight="1" x14ac:dyDescent="0.3">
      <c r="A398" s="53">
        <v>348</v>
      </c>
      <c r="B398" s="243"/>
      <c r="C398" s="1" t="s">
        <v>594</v>
      </c>
      <c r="D398" s="1" t="s">
        <v>595</v>
      </c>
      <c r="E398" s="1" t="s">
        <v>19</v>
      </c>
      <c r="F398" s="193">
        <v>210</v>
      </c>
      <c r="G398" s="193">
        <v>0</v>
      </c>
      <c r="H398" s="193">
        <v>210</v>
      </c>
      <c r="I398" s="101">
        <v>0</v>
      </c>
      <c r="J398" s="101">
        <v>0</v>
      </c>
      <c r="K398" s="16" t="s">
        <v>328</v>
      </c>
    </row>
    <row r="399" spans="1:12" s="28" customFormat="1" ht="45" customHeight="1" x14ac:dyDescent="0.3">
      <c r="A399" s="53">
        <v>349</v>
      </c>
      <c r="B399" s="243"/>
      <c r="C399" s="1" t="s">
        <v>596</v>
      </c>
      <c r="D399" s="1" t="s">
        <v>597</v>
      </c>
      <c r="E399" s="1" t="s">
        <v>19</v>
      </c>
      <c r="F399" s="193">
        <v>270.39999999999998</v>
      </c>
      <c r="G399" s="193">
        <v>0</v>
      </c>
      <c r="H399" s="193">
        <v>270.39999999999998</v>
      </c>
      <c r="I399" s="101">
        <v>0</v>
      </c>
      <c r="J399" s="101">
        <v>0</v>
      </c>
      <c r="K399" s="16" t="s">
        <v>121</v>
      </c>
    </row>
    <row r="400" spans="1:12" s="28" customFormat="1" ht="60" customHeight="1" x14ac:dyDescent="0.3">
      <c r="A400" s="53">
        <v>350</v>
      </c>
      <c r="B400" s="243"/>
      <c r="C400" s="1" t="s">
        <v>598</v>
      </c>
      <c r="D400" s="1" t="s">
        <v>593</v>
      </c>
      <c r="E400" s="1" t="s">
        <v>19</v>
      </c>
      <c r="F400" s="193">
        <v>210</v>
      </c>
      <c r="G400" s="193">
        <v>0</v>
      </c>
      <c r="H400" s="193">
        <v>210</v>
      </c>
      <c r="I400" s="101">
        <v>0</v>
      </c>
      <c r="J400" s="101">
        <v>0</v>
      </c>
      <c r="K400" s="16" t="s">
        <v>121</v>
      </c>
    </row>
    <row r="401" spans="1:12" s="28" customFormat="1" ht="48" customHeight="1" x14ac:dyDescent="0.3">
      <c r="A401" s="53">
        <v>351</v>
      </c>
      <c r="B401" s="243"/>
      <c r="C401" s="1" t="s">
        <v>599</v>
      </c>
      <c r="D401" s="1" t="s">
        <v>600</v>
      </c>
      <c r="E401" s="1" t="s">
        <v>19</v>
      </c>
      <c r="F401" s="193">
        <v>2302.4</v>
      </c>
      <c r="G401" s="193">
        <v>0</v>
      </c>
      <c r="H401" s="193">
        <v>2302.4</v>
      </c>
      <c r="I401" s="101">
        <v>0</v>
      </c>
      <c r="J401" s="101">
        <v>0</v>
      </c>
      <c r="K401" s="16" t="s">
        <v>121</v>
      </c>
    </row>
    <row r="402" spans="1:12" s="28" customFormat="1" ht="54.6" customHeight="1" x14ac:dyDescent="0.3">
      <c r="A402" s="53">
        <v>352</v>
      </c>
      <c r="B402" s="243"/>
      <c r="C402" s="1" t="s">
        <v>601</v>
      </c>
      <c r="D402" s="1" t="s">
        <v>593</v>
      </c>
      <c r="E402" s="1" t="s">
        <v>19</v>
      </c>
      <c r="F402" s="193">
        <v>150</v>
      </c>
      <c r="G402" s="193">
        <v>0</v>
      </c>
      <c r="H402" s="193">
        <v>150</v>
      </c>
      <c r="I402" s="101">
        <v>0</v>
      </c>
      <c r="J402" s="101">
        <v>0</v>
      </c>
      <c r="K402" s="16" t="s">
        <v>121</v>
      </c>
    </row>
    <row r="403" spans="1:12" s="28" customFormat="1" ht="60" customHeight="1" x14ac:dyDescent="0.3">
      <c r="A403" s="53">
        <v>353</v>
      </c>
      <c r="B403" s="243"/>
      <c r="C403" s="1" t="s">
        <v>602</v>
      </c>
      <c r="D403" s="1" t="s">
        <v>593</v>
      </c>
      <c r="E403" s="1" t="s">
        <v>19</v>
      </c>
      <c r="F403" s="193">
        <v>150</v>
      </c>
      <c r="G403" s="193">
        <v>0</v>
      </c>
      <c r="H403" s="193">
        <v>150</v>
      </c>
      <c r="I403" s="101">
        <v>0</v>
      </c>
      <c r="J403" s="101">
        <v>0</v>
      </c>
      <c r="K403" s="16" t="s">
        <v>121</v>
      </c>
    </row>
    <row r="404" spans="1:12" s="28" customFormat="1" ht="28.8" customHeight="1" x14ac:dyDescent="0.3">
      <c r="A404" s="53">
        <v>354</v>
      </c>
      <c r="B404" s="243"/>
      <c r="C404" s="1" t="s">
        <v>603</v>
      </c>
      <c r="D404" s="1" t="s">
        <v>604</v>
      </c>
      <c r="E404" s="1" t="s">
        <v>19</v>
      </c>
      <c r="F404" s="193">
        <v>44.55</v>
      </c>
      <c r="G404" s="193">
        <v>0</v>
      </c>
      <c r="H404" s="193">
        <v>44.55</v>
      </c>
      <c r="I404" s="101">
        <v>0</v>
      </c>
      <c r="J404" s="101">
        <v>0</v>
      </c>
      <c r="K404" s="16" t="s">
        <v>121</v>
      </c>
    </row>
    <row r="405" spans="1:12" s="28" customFormat="1" ht="45.6" customHeight="1" x14ac:dyDescent="0.3">
      <c r="A405" s="53">
        <v>355</v>
      </c>
      <c r="B405" s="243"/>
      <c r="C405" s="1" t="s">
        <v>605</v>
      </c>
      <c r="D405" s="1" t="s">
        <v>600</v>
      </c>
      <c r="E405" s="1" t="s">
        <v>19</v>
      </c>
      <c r="F405" s="193">
        <v>786.6</v>
      </c>
      <c r="G405" s="193">
        <v>786.6</v>
      </c>
      <c r="H405" s="101">
        <v>0</v>
      </c>
      <c r="I405" s="101">
        <v>0</v>
      </c>
      <c r="J405" s="101">
        <v>0</v>
      </c>
      <c r="K405" s="16" t="s">
        <v>120</v>
      </c>
    </row>
    <row r="406" spans="1:12" s="28" customFormat="1" ht="60.6" customHeight="1" x14ac:dyDescent="0.3">
      <c r="A406" s="53">
        <v>356</v>
      </c>
      <c r="B406" s="243"/>
      <c r="C406" s="1" t="s">
        <v>606</v>
      </c>
      <c r="D406" s="1" t="s">
        <v>593</v>
      </c>
      <c r="E406" s="1" t="s">
        <v>19</v>
      </c>
      <c r="F406" s="193">
        <v>210</v>
      </c>
      <c r="G406" s="193">
        <v>210</v>
      </c>
      <c r="H406" s="101">
        <v>0</v>
      </c>
      <c r="I406" s="101">
        <v>0</v>
      </c>
      <c r="J406" s="101">
        <v>0</v>
      </c>
      <c r="K406" s="16" t="s">
        <v>166</v>
      </c>
    </row>
    <row r="407" spans="1:12" s="28" customFormat="1" ht="52.2" customHeight="1" x14ac:dyDescent="0.3">
      <c r="A407" s="53">
        <v>357</v>
      </c>
      <c r="B407" s="243"/>
      <c r="C407" s="1" t="s">
        <v>607</v>
      </c>
      <c r="D407" s="1" t="s">
        <v>597</v>
      </c>
      <c r="E407" s="1" t="s">
        <v>19</v>
      </c>
      <c r="F407" s="193">
        <v>340.93</v>
      </c>
      <c r="G407" s="193">
        <v>340.93</v>
      </c>
      <c r="H407" s="101">
        <v>0</v>
      </c>
      <c r="I407" s="101">
        <v>0</v>
      </c>
      <c r="J407" s="101">
        <v>0</v>
      </c>
      <c r="K407" s="16" t="s">
        <v>122</v>
      </c>
    </row>
    <row r="408" spans="1:12" s="28" customFormat="1" ht="60.75" customHeight="1" x14ac:dyDescent="0.3">
      <c r="A408" s="53">
        <v>358</v>
      </c>
      <c r="B408" s="243"/>
      <c r="C408" s="1" t="s">
        <v>608</v>
      </c>
      <c r="D408" s="1" t="s">
        <v>593</v>
      </c>
      <c r="E408" s="1" t="s">
        <v>19</v>
      </c>
      <c r="F408" s="193">
        <v>150</v>
      </c>
      <c r="G408" s="193">
        <v>150</v>
      </c>
      <c r="H408" s="101">
        <v>0</v>
      </c>
      <c r="I408" s="101">
        <v>0</v>
      </c>
      <c r="J408" s="101">
        <v>0</v>
      </c>
      <c r="K408" s="16" t="s">
        <v>166</v>
      </c>
    </row>
    <row r="409" spans="1:12" s="28" customFormat="1" ht="29.4" customHeight="1" x14ac:dyDescent="0.3">
      <c r="A409" s="53">
        <v>359</v>
      </c>
      <c r="B409" s="244"/>
      <c r="C409" s="1" t="s">
        <v>609</v>
      </c>
      <c r="D409" s="1" t="s">
        <v>604</v>
      </c>
      <c r="E409" s="1" t="s">
        <v>19</v>
      </c>
      <c r="F409" s="193">
        <v>44.55</v>
      </c>
      <c r="G409" s="193">
        <v>44.55</v>
      </c>
      <c r="H409" s="101">
        <v>0</v>
      </c>
      <c r="I409" s="101">
        <v>0</v>
      </c>
      <c r="J409" s="101">
        <v>0</v>
      </c>
      <c r="K409" s="16" t="s">
        <v>166</v>
      </c>
    </row>
    <row r="410" spans="1:12" s="32" customFormat="1" ht="28.8" customHeight="1" x14ac:dyDescent="0.3">
      <c r="A410" s="250" t="s">
        <v>627</v>
      </c>
      <c r="B410" s="251"/>
      <c r="C410" s="252"/>
      <c r="D410" s="34"/>
      <c r="E410" s="34"/>
      <c r="F410" s="134">
        <f>SUM(F391:F409)</f>
        <v>7809.380000000001</v>
      </c>
      <c r="G410" s="134">
        <f t="shared" ref="G410:I410" si="52">SUM(G391:G409)</f>
        <v>1532.08</v>
      </c>
      <c r="H410" s="134">
        <f t="shared" si="52"/>
        <v>6277.3</v>
      </c>
      <c r="I410" s="134">
        <f t="shared" si="52"/>
        <v>0</v>
      </c>
      <c r="J410" s="134">
        <f>SUM(J391:J409)</f>
        <v>0</v>
      </c>
      <c r="K410" s="31"/>
      <c r="L410" s="58"/>
    </row>
    <row r="411" spans="1:12" s="28" customFormat="1" ht="24.6" customHeight="1" x14ac:dyDescent="0.3">
      <c r="A411" s="13">
        <v>360</v>
      </c>
      <c r="B411" s="242" t="s">
        <v>581</v>
      </c>
      <c r="C411" s="1" t="s">
        <v>610</v>
      </c>
      <c r="D411" s="42" t="s">
        <v>165</v>
      </c>
      <c r="E411" s="1" t="s">
        <v>19</v>
      </c>
      <c r="F411" s="109">
        <v>1077.24</v>
      </c>
      <c r="G411" s="109">
        <v>0</v>
      </c>
      <c r="H411" s="101">
        <v>0</v>
      </c>
      <c r="I411" s="109">
        <v>1077.24</v>
      </c>
      <c r="J411" s="101">
        <v>0</v>
      </c>
      <c r="K411" s="16" t="s">
        <v>332</v>
      </c>
    </row>
    <row r="412" spans="1:12" s="28" customFormat="1" ht="33" customHeight="1" x14ac:dyDescent="0.3">
      <c r="A412" s="13">
        <v>361</v>
      </c>
      <c r="B412" s="243"/>
      <c r="C412" s="16" t="s">
        <v>611</v>
      </c>
      <c r="D412" s="42" t="s">
        <v>465</v>
      </c>
      <c r="E412" s="1" t="s">
        <v>19</v>
      </c>
      <c r="F412" s="109">
        <v>266.5</v>
      </c>
      <c r="G412" s="109">
        <v>0</v>
      </c>
      <c r="H412" s="101">
        <v>0</v>
      </c>
      <c r="I412" s="109">
        <v>266.5</v>
      </c>
      <c r="J412" s="101">
        <v>0</v>
      </c>
      <c r="K412" s="16" t="s">
        <v>332</v>
      </c>
    </row>
    <row r="413" spans="1:12" s="28" customFormat="1" ht="47.25" customHeight="1" x14ac:dyDescent="0.3">
      <c r="A413" s="53">
        <v>362</v>
      </c>
      <c r="B413" s="243"/>
      <c r="C413" s="16" t="s">
        <v>612</v>
      </c>
      <c r="D413" s="42" t="s">
        <v>584</v>
      </c>
      <c r="E413" s="1" t="s">
        <v>19</v>
      </c>
      <c r="F413" s="109">
        <v>560</v>
      </c>
      <c r="G413" s="109">
        <v>0</v>
      </c>
      <c r="H413" s="101">
        <v>0</v>
      </c>
      <c r="I413" s="109">
        <v>560</v>
      </c>
      <c r="J413" s="101">
        <v>0</v>
      </c>
      <c r="K413" s="16" t="s">
        <v>124</v>
      </c>
    </row>
    <row r="414" spans="1:12" s="28" customFormat="1" ht="28.8" customHeight="1" x14ac:dyDescent="0.3">
      <c r="A414" s="53">
        <v>363</v>
      </c>
      <c r="B414" s="243"/>
      <c r="C414" s="16" t="s">
        <v>613</v>
      </c>
      <c r="D414" s="42" t="s">
        <v>587</v>
      </c>
      <c r="E414" s="1" t="s">
        <v>19</v>
      </c>
      <c r="F414" s="109">
        <v>71.89</v>
      </c>
      <c r="G414" s="109">
        <v>0</v>
      </c>
      <c r="H414" s="101">
        <v>0</v>
      </c>
      <c r="I414" s="109">
        <v>71.89</v>
      </c>
      <c r="J414" s="101">
        <v>0</v>
      </c>
      <c r="K414" s="16" t="s">
        <v>332</v>
      </c>
    </row>
    <row r="415" spans="1:12" s="28" customFormat="1" ht="31.8" customHeight="1" x14ac:dyDescent="0.3">
      <c r="A415" s="53">
        <v>364</v>
      </c>
      <c r="B415" s="243"/>
      <c r="C415" s="16" t="s">
        <v>614</v>
      </c>
      <c r="D415" s="42" t="s">
        <v>589</v>
      </c>
      <c r="E415" s="1" t="s">
        <v>19</v>
      </c>
      <c r="F415" s="109">
        <v>288.70999999999998</v>
      </c>
      <c r="G415" s="109">
        <v>0</v>
      </c>
      <c r="H415" s="101">
        <v>0</v>
      </c>
      <c r="I415" s="109">
        <v>288.70999999999998</v>
      </c>
      <c r="J415" s="101">
        <v>0</v>
      </c>
      <c r="K415" s="16" t="s">
        <v>332</v>
      </c>
    </row>
    <row r="416" spans="1:12" s="28" customFormat="1" ht="33" customHeight="1" x14ac:dyDescent="0.3">
      <c r="A416" s="53">
        <v>365</v>
      </c>
      <c r="B416" s="243"/>
      <c r="C416" s="16" t="s">
        <v>615</v>
      </c>
      <c r="D416" s="42" t="s">
        <v>589</v>
      </c>
      <c r="E416" s="1" t="s">
        <v>19</v>
      </c>
      <c r="F416" s="109">
        <v>188.35</v>
      </c>
      <c r="G416" s="109">
        <v>0</v>
      </c>
      <c r="H416" s="101">
        <v>0</v>
      </c>
      <c r="I416" s="109">
        <v>188.35</v>
      </c>
      <c r="J416" s="101">
        <v>0</v>
      </c>
      <c r="K416" s="16" t="s">
        <v>332</v>
      </c>
    </row>
    <row r="417" spans="1:12" s="28" customFormat="1" ht="31.5" customHeight="1" x14ac:dyDescent="0.3">
      <c r="A417" s="53">
        <v>366</v>
      </c>
      <c r="B417" s="243"/>
      <c r="C417" s="16" t="s">
        <v>616</v>
      </c>
      <c r="D417" s="42" t="s">
        <v>591</v>
      </c>
      <c r="E417" s="1" t="s">
        <v>19</v>
      </c>
      <c r="F417" s="109">
        <v>465.58</v>
      </c>
      <c r="G417" s="109">
        <v>0</v>
      </c>
      <c r="H417" s="101">
        <v>0</v>
      </c>
      <c r="I417" s="109">
        <v>465.58</v>
      </c>
      <c r="J417" s="101">
        <v>0</v>
      </c>
      <c r="K417" s="16" t="s">
        <v>332</v>
      </c>
    </row>
    <row r="418" spans="1:12" s="28" customFormat="1" ht="52.8" x14ac:dyDescent="0.3">
      <c r="A418" s="53">
        <v>367</v>
      </c>
      <c r="B418" s="243"/>
      <c r="C418" s="16" t="s">
        <v>617</v>
      </c>
      <c r="D418" s="42" t="s">
        <v>593</v>
      </c>
      <c r="E418" s="1" t="s">
        <v>19</v>
      </c>
      <c r="F418" s="109">
        <v>210</v>
      </c>
      <c r="G418" s="109">
        <v>0</v>
      </c>
      <c r="H418" s="101">
        <v>0</v>
      </c>
      <c r="I418" s="109">
        <v>210</v>
      </c>
      <c r="J418" s="101">
        <v>0</v>
      </c>
      <c r="K418" s="16" t="s">
        <v>124</v>
      </c>
    </row>
    <row r="419" spans="1:12" s="28" customFormat="1" ht="48" customHeight="1" x14ac:dyDescent="0.3">
      <c r="A419" s="53">
        <v>368</v>
      </c>
      <c r="B419" s="243"/>
      <c r="C419" s="16" t="s">
        <v>618</v>
      </c>
      <c r="D419" s="42" t="s">
        <v>595</v>
      </c>
      <c r="E419" s="1" t="s">
        <v>19</v>
      </c>
      <c r="F419" s="109">
        <v>210</v>
      </c>
      <c r="G419" s="109">
        <v>0</v>
      </c>
      <c r="H419" s="101">
        <v>0</v>
      </c>
      <c r="I419" s="109">
        <v>210</v>
      </c>
      <c r="J419" s="101">
        <v>0</v>
      </c>
      <c r="K419" s="16" t="s">
        <v>124</v>
      </c>
    </row>
    <row r="420" spans="1:12" s="28" customFormat="1" ht="48" customHeight="1" x14ac:dyDescent="0.3">
      <c r="A420" s="53">
        <v>369</v>
      </c>
      <c r="B420" s="243"/>
      <c r="C420" s="16" t="s">
        <v>619</v>
      </c>
      <c r="D420" s="42" t="s">
        <v>597</v>
      </c>
      <c r="E420" s="1" t="s">
        <v>19</v>
      </c>
      <c r="F420" s="109">
        <v>270.39999999999998</v>
      </c>
      <c r="G420" s="109">
        <v>0</v>
      </c>
      <c r="H420" s="101">
        <v>0</v>
      </c>
      <c r="I420" s="109">
        <v>270.39999999999998</v>
      </c>
      <c r="J420" s="101">
        <v>0</v>
      </c>
      <c r="K420" s="16" t="s">
        <v>332</v>
      </c>
    </row>
    <row r="421" spans="1:12" s="28" customFormat="1" ht="52.8" x14ac:dyDescent="0.3">
      <c r="A421" s="53">
        <v>370</v>
      </c>
      <c r="B421" s="243"/>
      <c r="C421" s="16" t="s">
        <v>620</v>
      </c>
      <c r="D421" s="42" t="s">
        <v>593</v>
      </c>
      <c r="E421" s="1" t="s">
        <v>19</v>
      </c>
      <c r="F421" s="109">
        <v>210</v>
      </c>
      <c r="G421" s="109">
        <v>0</v>
      </c>
      <c r="H421" s="101">
        <v>0</v>
      </c>
      <c r="I421" s="109">
        <v>210</v>
      </c>
      <c r="J421" s="101">
        <v>0</v>
      </c>
      <c r="K421" s="16" t="s">
        <v>332</v>
      </c>
    </row>
    <row r="422" spans="1:12" s="28" customFormat="1" ht="52.8" x14ac:dyDescent="0.3">
      <c r="A422" s="53">
        <v>371</v>
      </c>
      <c r="B422" s="243"/>
      <c r="C422" s="16" t="s">
        <v>621</v>
      </c>
      <c r="D422" s="42" t="s">
        <v>600</v>
      </c>
      <c r="E422" s="1" t="s">
        <v>19</v>
      </c>
      <c r="F422" s="109">
        <v>2302.4</v>
      </c>
      <c r="G422" s="109">
        <v>0</v>
      </c>
      <c r="H422" s="101">
        <v>0</v>
      </c>
      <c r="I422" s="109">
        <v>2302.4</v>
      </c>
      <c r="J422" s="101">
        <v>0</v>
      </c>
      <c r="K422" s="16" t="s">
        <v>124</v>
      </c>
    </row>
    <row r="423" spans="1:12" s="28" customFormat="1" ht="52.8" x14ac:dyDescent="0.3">
      <c r="A423" s="53">
        <v>372</v>
      </c>
      <c r="B423" s="243"/>
      <c r="C423" s="16" t="s">
        <v>622</v>
      </c>
      <c r="D423" s="42" t="s">
        <v>593</v>
      </c>
      <c r="E423" s="1" t="s">
        <v>19</v>
      </c>
      <c r="F423" s="109">
        <v>150</v>
      </c>
      <c r="G423" s="109">
        <v>0</v>
      </c>
      <c r="H423" s="101">
        <v>0</v>
      </c>
      <c r="I423" s="109">
        <v>150</v>
      </c>
      <c r="J423" s="101">
        <v>0</v>
      </c>
      <c r="K423" s="16" t="s">
        <v>124</v>
      </c>
    </row>
    <row r="424" spans="1:12" s="28" customFormat="1" ht="52.8" x14ac:dyDescent="0.3">
      <c r="A424" s="53">
        <v>373</v>
      </c>
      <c r="B424" s="243"/>
      <c r="C424" s="16" t="s">
        <v>623</v>
      </c>
      <c r="D424" s="42" t="s">
        <v>593</v>
      </c>
      <c r="E424" s="1" t="s">
        <v>19</v>
      </c>
      <c r="F424" s="109">
        <v>150</v>
      </c>
      <c r="G424" s="109">
        <v>0</v>
      </c>
      <c r="H424" s="101">
        <v>0</v>
      </c>
      <c r="I424" s="109">
        <v>150</v>
      </c>
      <c r="J424" s="101">
        <v>0</v>
      </c>
      <c r="K424" s="16" t="s">
        <v>124</v>
      </c>
    </row>
    <row r="425" spans="1:12" s="28" customFormat="1" ht="39.75" customHeight="1" x14ac:dyDescent="0.3">
      <c r="A425" s="53">
        <v>374</v>
      </c>
      <c r="B425" s="243"/>
      <c r="C425" s="16" t="s">
        <v>624</v>
      </c>
      <c r="D425" s="42" t="s">
        <v>171</v>
      </c>
      <c r="E425" s="1" t="s">
        <v>19</v>
      </c>
      <c r="F425" s="109">
        <v>339.36</v>
      </c>
      <c r="G425" s="109">
        <v>0</v>
      </c>
      <c r="H425" s="101">
        <v>0</v>
      </c>
      <c r="I425" s="109">
        <v>339.36</v>
      </c>
      <c r="J425" s="101">
        <v>0</v>
      </c>
      <c r="K425" s="16" t="s">
        <v>332</v>
      </c>
    </row>
    <row r="426" spans="1:12" s="28" customFormat="1" ht="25.8" customHeight="1" x14ac:dyDescent="0.3">
      <c r="A426" s="53">
        <v>375</v>
      </c>
      <c r="B426" s="243"/>
      <c r="C426" s="16" t="s">
        <v>625</v>
      </c>
      <c r="D426" s="42" t="s">
        <v>604</v>
      </c>
      <c r="E426" s="1" t="s">
        <v>19</v>
      </c>
      <c r="F426" s="109">
        <v>44.55</v>
      </c>
      <c r="G426" s="109">
        <v>0</v>
      </c>
      <c r="H426" s="101">
        <v>0</v>
      </c>
      <c r="I426" s="109">
        <v>44.55</v>
      </c>
      <c r="J426" s="101">
        <v>0</v>
      </c>
      <c r="K426" s="16" t="s">
        <v>124</v>
      </c>
    </row>
    <row r="427" spans="1:12" s="28" customFormat="1" ht="34.200000000000003" customHeight="1" x14ac:dyDescent="0.3">
      <c r="A427" s="53">
        <v>376</v>
      </c>
      <c r="B427" s="244"/>
      <c r="C427" s="16" t="s">
        <v>626</v>
      </c>
      <c r="D427" s="42" t="s">
        <v>589</v>
      </c>
      <c r="E427" s="1" t="s">
        <v>19</v>
      </c>
      <c r="F427" s="109">
        <v>188.35</v>
      </c>
      <c r="G427" s="109">
        <v>0</v>
      </c>
      <c r="H427" s="109">
        <v>188.35</v>
      </c>
      <c r="I427" s="101">
        <v>0</v>
      </c>
      <c r="J427" s="101">
        <v>0</v>
      </c>
      <c r="K427" s="16" t="s">
        <v>333</v>
      </c>
    </row>
    <row r="428" spans="1:12" s="57" customFormat="1" ht="27" customHeight="1" x14ac:dyDescent="0.3">
      <c r="A428" s="240" t="s">
        <v>628</v>
      </c>
      <c r="B428" s="240"/>
      <c r="C428" s="240"/>
      <c r="D428" s="56"/>
      <c r="E428" s="56"/>
      <c r="F428" s="134">
        <f>SUM(F411:F427)</f>
        <v>6993.33</v>
      </c>
      <c r="G428" s="134">
        <f t="shared" ref="G428:I428" si="53">SUM(G411:G427)</f>
        <v>0</v>
      </c>
      <c r="H428" s="134">
        <f t="shared" si="53"/>
        <v>188.35</v>
      </c>
      <c r="I428" s="134">
        <f t="shared" si="53"/>
        <v>6804.98</v>
      </c>
      <c r="J428" s="134">
        <f>SUM(J411:J426)</f>
        <v>0</v>
      </c>
      <c r="K428" s="56"/>
      <c r="L428" s="73"/>
    </row>
    <row r="429" spans="1:12" s="28" customFormat="1" ht="66" x14ac:dyDescent="0.3">
      <c r="A429" s="13">
        <v>377</v>
      </c>
      <c r="B429" s="242" t="s">
        <v>638</v>
      </c>
      <c r="C429" s="18" t="s">
        <v>639</v>
      </c>
      <c r="D429" s="16" t="s">
        <v>640</v>
      </c>
      <c r="E429" s="1" t="s">
        <v>19</v>
      </c>
      <c r="F429" s="193">
        <f>H429+I429</f>
        <v>6449.4</v>
      </c>
      <c r="G429" s="107">
        <v>0</v>
      </c>
      <c r="H429" s="107">
        <v>3224.7</v>
      </c>
      <c r="I429" s="107">
        <v>3224.7</v>
      </c>
      <c r="J429" s="107">
        <v>0</v>
      </c>
      <c r="K429" s="16" t="s">
        <v>190</v>
      </c>
    </row>
    <row r="430" spans="1:12" s="28" customFormat="1" ht="26.4" x14ac:dyDescent="0.3">
      <c r="A430" s="13">
        <v>378</v>
      </c>
      <c r="B430" s="243"/>
      <c r="C430" s="18" t="s">
        <v>641</v>
      </c>
      <c r="D430" s="16" t="s">
        <v>589</v>
      </c>
      <c r="E430" s="1" t="s">
        <v>19</v>
      </c>
      <c r="F430" s="107">
        <v>12453.85</v>
      </c>
      <c r="G430" s="107">
        <v>12453.85</v>
      </c>
      <c r="H430" s="107">
        <v>0</v>
      </c>
      <c r="I430" s="107">
        <v>0</v>
      </c>
      <c r="J430" s="107">
        <v>0</v>
      </c>
      <c r="K430" s="16" t="s">
        <v>143</v>
      </c>
    </row>
    <row r="431" spans="1:12" s="28" customFormat="1" ht="26.4" x14ac:dyDescent="0.3">
      <c r="A431" s="53">
        <v>379</v>
      </c>
      <c r="B431" s="243"/>
      <c r="C431" s="18" t="s">
        <v>642</v>
      </c>
      <c r="D431" s="16" t="s">
        <v>358</v>
      </c>
      <c r="E431" s="1" t="s">
        <v>19</v>
      </c>
      <c r="F431" s="107">
        <v>8548.61</v>
      </c>
      <c r="G431" s="107">
        <v>8548.61</v>
      </c>
      <c r="H431" s="107">
        <v>0</v>
      </c>
      <c r="I431" s="107">
        <v>0</v>
      </c>
      <c r="J431" s="107">
        <v>0</v>
      </c>
      <c r="K431" s="16" t="s">
        <v>143</v>
      </c>
    </row>
    <row r="432" spans="1:12" s="28" customFormat="1" ht="28.5" customHeight="1" x14ac:dyDescent="0.3">
      <c r="A432" s="53">
        <v>380</v>
      </c>
      <c r="B432" s="243"/>
      <c r="C432" s="18" t="s">
        <v>643</v>
      </c>
      <c r="D432" s="16" t="s">
        <v>644</v>
      </c>
      <c r="E432" s="1" t="s">
        <v>19</v>
      </c>
      <c r="F432" s="107">
        <v>12134.6</v>
      </c>
      <c r="G432" s="107">
        <v>12134.6</v>
      </c>
      <c r="H432" s="107">
        <v>0</v>
      </c>
      <c r="I432" s="107">
        <v>0</v>
      </c>
      <c r="J432" s="107">
        <v>0</v>
      </c>
      <c r="K432" s="16" t="s">
        <v>274</v>
      </c>
    </row>
    <row r="433" spans="1:11" s="28" customFormat="1" ht="26.4" x14ac:dyDescent="0.3">
      <c r="A433" s="53">
        <v>381</v>
      </c>
      <c r="B433" s="243"/>
      <c r="C433" s="18" t="s">
        <v>645</v>
      </c>
      <c r="D433" s="16" t="s">
        <v>137</v>
      </c>
      <c r="E433" s="1" t="s">
        <v>19</v>
      </c>
      <c r="F433" s="107">
        <v>4392</v>
      </c>
      <c r="G433" s="107">
        <v>0</v>
      </c>
      <c r="H433" s="107">
        <v>4392</v>
      </c>
      <c r="I433" s="107">
        <v>0</v>
      </c>
      <c r="J433" s="107">
        <v>0</v>
      </c>
      <c r="K433" s="16" t="s">
        <v>190</v>
      </c>
    </row>
    <row r="434" spans="1:11" s="28" customFormat="1" ht="39.6" x14ac:dyDescent="0.3">
      <c r="A434" s="53">
        <v>382</v>
      </c>
      <c r="B434" s="243"/>
      <c r="C434" s="18" t="s">
        <v>646</v>
      </c>
      <c r="D434" s="16" t="s">
        <v>647</v>
      </c>
      <c r="E434" s="1" t="s">
        <v>19</v>
      </c>
      <c r="F434" s="193">
        <v>190.8</v>
      </c>
      <c r="G434" s="107">
        <v>190.8</v>
      </c>
      <c r="H434" s="107">
        <v>0</v>
      </c>
      <c r="I434" s="107">
        <v>0</v>
      </c>
      <c r="J434" s="107">
        <v>0</v>
      </c>
      <c r="K434" s="16" t="s">
        <v>143</v>
      </c>
    </row>
    <row r="435" spans="1:11" s="28" customFormat="1" ht="26.4" x14ac:dyDescent="0.3">
      <c r="A435" s="53">
        <v>383</v>
      </c>
      <c r="B435" s="243"/>
      <c r="C435" s="18" t="s">
        <v>648</v>
      </c>
      <c r="D435" s="16" t="s">
        <v>429</v>
      </c>
      <c r="E435" s="1" t="s">
        <v>19</v>
      </c>
      <c r="F435" s="193">
        <v>1770.32</v>
      </c>
      <c r="G435" s="107">
        <v>0</v>
      </c>
      <c r="H435" s="193">
        <v>1770.32</v>
      </c>
      <c r="I435" s="107">
        <v>0</v>
      </c>
      <c r="J435" s="107">
        <v>0</v>
      </c>
      <c r="K435" s="16" t="s">
        <v>215</v>
      </c>
    </row>
    <row r="436" spans="1:11" s="28" customFormat="1" ht="55.8" customHeight="1" x14ac:dyDescent="0.3">
      <c r="A436" s="53">
        <v>384</v>
      </c>
      <c r="B436" s="243"/>
      <c r="C436" s="18" t="s">
        <v>649</v>
      </c>
      <c r="D436" s="16" t="s">
        <v>323</v>
      </c>
      <c r="E436" s="1" t="s">
        <v>19</v>
      </c>
      <c r="F436" s="193">
        <v>6312.1</v>
      </c>
      <c r="G436" s="107">
        <v>0</v>
      </c>
      <c r="H436" s="193">
        <v>6312.1</v>
      </c>
      <c r="I436" s="107">
        <v>0</v>
      </c>
      <c r="J436" s="107">
        <v>0</v>
      </c>
      <c r="K436" s="16" t="s">
        <v>650</v>
      </c>
    </row>
    <row r="437" spans="1:11" s="28" customFormat="1" ht="39.6" x14ac:dyDescent="0.3">
      <c r="A437" s="53">
        <v>385</v>
      </c>
      <c r="B437" s="243"/>
      <c r="C437" s="18" t="s">
        <v>651</v>
      </c>
      <c r="D437" s="16" t="s">
        <v>652</v>
      </c>
      <c r="E437" s="1" t="s">
        <v>19</v>
      </c>
      <c r="F437" s="193">
        <v>1229.25</v>
      </c>
      <c r="G437" s="193">
        <v>1229.25</v>
      </c>
      <c r="H437" s="107">
        <v>0</v>
      </c>
      <c r="I437" s="107">
        <v>0</v>
      </c>
      <c r="J437" s="107">
        <v>0</v>
      </c>
      <c r="K437" s="16" t="s">
        <v>143</v>
      </c>
    </row>
    <row r="438" spans="1:11" s="28" customFormat="1" ht="39.6" x14ac:dyDescent="0.3">
      <c r="A438" s="53">
        <v>386</v>
      </c>
      <c r="B438" s="243"/>
      <c r="C438" s="18" t="s">
        <v>653</v>
      </c>
      <c r="D438" s="16" t="s">
        <v>654</v>
      </c>
      <c r="E438" s="1" t="s">
        <v>19</v>
      </c>
      <c r="F438" s="193">
        <v>5307.22</v>
      </c>
      <c r="G438" s="193">
        <v>5307.22</v>
      </c>
      <c r="H438" s="107">
        <v>0</v>
      </c>
      <c r="I438" s="107">
        <v>0</v>
      </c>
      <c r="J438" s="107">
        <v>0</v>
      </c>
      <c r="K438" s="16" t="s">
        <v>143</v>
      </c>
    </row>
    <row r="439" spans="1:11" s="28" customFormat="1" ht="39.6" x14ac:dyDescent="0.3">
      <c r="A439" s="53">
        <v>387</v>
      </c>
      <c r="B439" s="243"/>
      <c r="C439" s="18" t="s">
        <v>655</v>
      </c>
      <c r="D439" s="16" t="s">
        <v>656</v>
      </c>
      <c r="E439" s="1" t="s">
        <v>19</v>
      </c>
      <c r="F439" s="193">
        <v>1288</v>
      </c>
      <c r="G439" s="193">
        <v>1288</v>
      </c>
      <c r="H439" s="107">
        <v>0</v>
      </c>
      <c r="I439" s="107">
        <v>0</v>
      </c>
      <c r="J439" s="107">
        <v>0</v>
      </c>
      <c r="K439" s="16" t="s">
        <v>143</v>
      </c>
    </row>
    <row r="440" spans="1:11" s="28" customFormat="1" ht="39.6" x14ac:dyDescent="0.3">
      <c r="A440" s="53">
        <v>388</v>
      </c>
      <c r="B440" s="243"/>
      <c r="C440" s="18" t="s">
        <v>657</v>
      </c>
      <c r="D440" s="16" t="s">
        <v>658</v>
      </c>
      <c r="E440" s="1" t="s">
        <v>19</v>
      </c>
      <c r="F440" s="193">
        <v>177.75</v>
      </c>
      <c r="G440" s="193">
        <v>177.75</v>
      </c>
      <c r="H440" s="107">
        <v>0</v>
      </c>
      <c r="I440" s="107">
        <v>0</v>
      </c>
      <c r="J440" s="107">
        <v>0</v>
      </c>
      <c r="K440" s="16" t="s">
        <v>143</v>
      </c>
    </row>
    <row r="441" spans="1:11" s="28" customFormat="1" ht="52.8" x14ac:dyDescent="0.3">
      <c r="A441" s="53">
        <v>389</v>
      </c>
      <c r="B441" s="243"/>
      <c r="C441" s="18" t="s">
        <v>659</v>
      </c>
      <c r="D441" s="16" t="s">
        <v>660</v>
      </c>
      <c r="E441" s="1" t="s">
        <v>19</v>
      </c>
      <c r="F441" s="193">
        <v>241.99</v>
      </c>
      <c r="G441" s="193">
        <v>241.99</v>
      </c>
      <c r="H441" s="107">
        <v>0</v>
      </c>
      <c r="I441" s="107">
        <v>0</v>
      </c>
      <c r="J441" s="107">
        <v>0</v>
      </c>
      <c r="K441" s="16" t="s">
        <v>143</v>
      </c>
    </row>
    <row r="442" spans="1:11" s="28" customFormat="1" ht="39.6" x14ac:dyDescent="0.3">
      <c r="A442" s="53">
        <v>390</v>
      </c>
      <c r="B442" s="243"/>
      <c r="C442" s="18" t="s">
        <v>661</v>
      </c>
      <c r="D442" s="16" t="s">
        <v>662</v>
      </c>
      <c r="E442" s="1" t="s">
        <v>19</v>
      </c>
      <c r="F442" s="193">
        <v>608.96</v>
      </c>
      <c r="G442" s="193">
        <v>608.96</v>
      </c>
      <c r="H442" s="107">
        <v>0</v>
      </c>
      <c r="I442" s="107">
        <v>0</v>
      </c>
      <c r="J442" s="107">
        <v>0</v>
      </c>
      <c r="K442" s="16" t="s">
        <v>143</v>
      </c>
    </row>
    <row r="443" spans="1:11" s="28" customFormat="1" ht="39.6" x14ac:dyDescent="0.3">
      <c r="A443" s="53">
        <v>391</v>
      </c>
      <c r="B443" s="243"/>
      <c r="C443" s="18" t="s">
        <v>663</v>
      </c>
      <c r="D443" s="16" t="s">
        <v>664</v>
      </c>
      <c r="E443" s="1" t="s">
        <v>665</v>
      </c>
      <c r="F443" s="193">
        <v>89.25</v>
      </c>
      <c r="G443" s="193">
        <v>89.25</v>
      </c>
      <c r="H443" s="107">
        <v>0</v>
      </c>
      <c r="I443" s="107">
        <v>0</v>
      </c>
      <c r="J443" s="107">
        <v>0</v>
      </c>
      <c r="K443" s="16" t="s">
        <v>143</v>
      </c>
    </row>
    <row r="444" spans="1:11" s="28" customFormat="1" ht="52.8" x14ac:dyDescent="0.3">
      <c r="A444" s="53">
        <v>392</v>
      </c>
      <c r="B444" s="243"/>
      <c r="C444" s="18" t="s">
        <v>666</v>
      </c>
      <c r="D444" s="16" t="s">
        <v>667</v>
      </c>
      <c r="E444" s="1" t="s">
        <v>19</v>
      </c>
      <c r="F444" s="193">
        <v>269.67</v>
      </c>
      <c r="G444" s="193">
        <v>269.67</v>
      </c>
      <c r="H444" s="107">
        <v>0</v>
      </c>
      <c r="I444" s="107">
        <v>0</v>
      </c>
      <c r="J444" s="107">
        <v>0</v>
      </c>
      <c r="K444" s="16" t="s">
        <v>143</v>
      </c>
    </row>
    <row r="445" spans="1:11" s="28" customFormat="1" ht="66" x14ac:dyDescent="0.3">
      <c r="A445" s="53">
        <v>393</v>
      </c>
      <c r="B445" s="243"/>
      <c r="C445" s="18" t="s">
        <v>668</v>
      </c>
      <c r="D445" s="16" t="s">
        <v>669</v>
      </c>
      <c r="E445" s="1" t="s">
        <v>19</v>
      </c>
      <c r="F445" s="193">
        <v>118.33</v>
      </c>
      <c r="G445" s="193">
        <v>118.33</v>
      </c>
      <c r="H445" s="107">
        <v>0</v>
      </c>
      <c r="I445" s="107">
        <v>0</v>
      </c>
      <c r="J445" s="107">
        <v>0</v>
      </c>
      <c r="K445" s="16" t="s">
        <v>143</v>
      </c>
    </row>
    <row r="446" spans="1:11" s="28" customFormat="1" ht="92.4" x14ac:dyDescent="0.3">
      <c r="A446" s="53">
        <v>394</v>
      </c>
      <c r="B446" s="243"/>
      <c r="C446" s="18" t="s">
        <v>670</v>
      </c>
      <c r="D446" s="16" t="s">
        <v>671</v>
      </c>
      <c r="E446" s="1" t="s">
        <v>19</v>
      </c>
      <c r="F446" s="193">
        <v>781.28</v>
      </c>
      <c r="G446" s="193">
        <v>781.28</v>
      </c>
      <c r="H446" s="107">
        <v>0</v>
      </c>
      <c r="I446" s="107">
        <v>0</v>
      </c>
      <c r="J446" s="107">
        <v>0</v>
      </c>
      <c r="K446" s="16" t="s">
        <v>143</v>
      </c>
    </row>
    <row r="447" spans="1:11" s="28" customFormat="1" ht="52.8" x14ac:dyDescent="0.3">
      <c r="A447" s="53">
        <v>395</v>
      </c>
      <c r="B447" s="243"/>
      <c r="C447" s="18" t="s">
        <v>672</v>
      </c>
      <c r="D447" s="16" t="s">
        <v>673</v>
      </c>
      <c r="E447" s="1" t="s">
        <v>19</v>
      </c>
      <c r="F447" s="193">
        <v>201.12</v>
      </c>
      <c r="G447" s="193">
        <v>201.12</v>
      </c>
      <c r="H447" s="107">
        <v>0</v>
      </c>
      <c r="I447" s="107">
        <v>0</v>
      </c>
      <c r="J447" s="107">
        <v>0</v>
      </c>
      <c r="K447" s="16" t="s">
        <v>143</v>
      </c>
    </row>
    <row r="448" spans="1:11" s="28" customFormat="1" ht="52.8" x14ac:dyDescent="0.3">
      <c r="A448" s="53">
        <v>396</v>
      </c>
      <c r="B448" s="243"/>
      <c r="C448" s="18" t="s">
        <v>674</v>
      </c>
      <c r="D448" s="16" t="s">
        <v>675</v>
      </c>
      <c r="E448" s="1" t="s">
        <v>19</v>
      </c>
      <c r="F448" s="193">
        <v>457.08</v>
      </c>
      <c r="G448" s="193">
        <v>457.08</v>
      </c>
      <c r="H448" s="107">
        <v>0</v>
      </c>
      <c r="I448" s="107">
        <v>0</v>
      </c>
      <c r="J448" s="107">
        <v>0</v>
      </c>
      <c r="K448" s="16" t="s">
        <v>143</v>
      </c>
    </row>
    <row r="449" spans="1:11" s="28" customFormat="1" ht="52.8" x14ac:dyDescent="0.3">
      <c r="A449" s="53">
        <v>397</v>
      </c>
      <c r="B449" s="243"/>
      <c r="C449" s="18" t="s">
        <v>676</v>
      </c>
      <c r="D449" s="16" t="s">
        <v>677</v>
      </c>
      <c r="E449" s="1" t="s">
        <v>19</v>
      </c>
      <c r="F449" s="193">
        <f>G449+H449+I449</f>
        <v>2894.63</v>
      </c>
      <c r="G449" s="107">
        <v>558.71</v>
      </c>
      <c r="H449" s="107">
        <v>1167.96</v>
      </c>
      <c r="I449" s="107">
        <v>1167.96</v>
      </c>
      <c r="J449" s="107">
        <v>0</v>
      </c>
      <c r="K449" s="16" t="s">
        <v>143</v>
      </c>
    </row>
    <row r="450" spans="1:11" s="28" customFormat="1" ht="26.4" x14ac:dyDescent="0.3">
      <c r="A450" s="53">
        <v>398</v>
      </c>
      <c r="B450" s="243"/>
      <c r="C450" s="18" t="s">
        <v>678</v>
      </c>
      <c r="D450" s="16" t="s">
        <v>679</v>
      </c>
      <c r="E450" s="1" t="s">
        <v>19</v>
      </c>
      <c r="F450" s="193">
        <f>G450+H450+I450</f>
        <v>971.42</v>
      </c>
      <c r="G450" s="107">
        <v>485.71</v>
      </c>
      <c r="H450" s="107">
        <v>485.71</v>
      </c>
      <c r="I450" s="107">
        <v>0</v>
      </c>
      <c r="J450" s="107">
        <v>0</v>
      </c>
      <c r="K450" s="16" t="s">
        <v>143</v>
      </c>
    </row>
    <row r="451" spans="1:11" s="28" customFormat="1" ht="66" customHeight="1" x14ac:dyDescent="0.3">
      <c r="A451" s="53">
        <v>399</v>
      </c>
      <c r="B451" s="243"/>
      <c r="C451" s="18" t="s">
        <v>680</v>
      </c>
      <c r="D451" s="16" t="s">
        <v>681</v>
      </c>
      <c r="E451" s="1" t="s">
        <v>19</v>
      </c>
      <c r="F451" s="193">
        <v>1296</v>
      </c>
      <c r="G451" s="193">
        <v>1296</v>
      </c>
      <c r="H451" s="107">
        <v>0</v>
      </c>
      <c r="I451" s="107">
        <v>0</v>
      </c>
      <c r="J451" s="107">
        <v>0</v>
      </c>
      <c r="K451" s="16" t="s">
        <v>143</v>
      </c>
    </row>
    <row r="452" spans="1:11" s="28" customFormat="1" ht="66" x14ac:dyDescent="0.3">
      <c r="A452" s="53">
        <v>400</v>
      </c>
      <c r="B452" s="243"/>
      <c r="C452" s="18" t="s">
        <v>682</v>
      </c>
      <c r="D452" s="16" t="s">
        <v>683</v>
      </c>
      <c r="E452" s="1" t="s">
        <v>19</v>
      </c>
      <c r="F452" s="193">
        <v>566</v>
      </c>
      <c r="G452" s="193">
        <v>566</v>
      </c>
      <c r="H452" s="107">
        <v>0</v>
      </c>
      <c r="I452" s="107">
        <v>0</v>
      </c>
      <c r="J452" s="107">
        <v>0</v>
      </c>
      <c r="K452" s="16" t="s">
        <v>143</v>
      </c>
    </row>
    <row r="453" spans="1:11" s="28" customFormat="1" ht="52.8" x14ac:dyDescent="0.3">
      <c r="A453" s="53">
        <v>401</v>
      </c>
      <c r="B453" s="243"/>
      <c r="C453" s="18" t="s">
        <v>684</v>
      </c>
      <c r="D453" s="16" t="s">
        <v>685</v>
      </c>
      <c r="E453" s="1" t="s">
        <v>19</v>
      </c>
      <c r="F453" s="193">
        <v>19354.580000000002</v>
      </c>
      <c r="G453" s="193">
        <v>19354.580000000002</v>
      </c>
      <c r="H453" s="107">
        <v>0</v>
      </c>
      <c r="I453" s="107">
        <v>0</v>
      </c>
      <c r="J453" s="107">
        <v>0</v>
      </c>
      <c r="K453" s="16" t="s">
        <v>143</v>
      </c>
    </row>
    <row r="454" spans="1:11" s="28" customFormat="1" ht="52.8" x14ac:dyDescent="0.3">
      <c r="A454" s="53">
        <v>402</v>
      </c>
      <c r="B454" s="243"/>
      <c r="C454" s="18" t="s">
        <v>686</v>
      </c>
      <c r="D454" s="16" t="s">
        <v>685</v>
      </c>
      <c r="E454" s="1" t="s">
        <v>19</v>
      </c>
      <c r="F454" s="193">
        <v>11070.3</v>
      </c>
      <c r="G454" s="193">
        <v>11070.3</v>
      </c>
      <c r="H454" s="107">
        <v>0</v>
      </c>
      <c r="I454" s="107">
        <v>0</v>
      </c>
      <c r="J454" s="107">
        <v>0</v>
      </c>
      <c r="K454" s="16" t="s">
        <v>143</v>
      </c>
    </row>
    <row r="455" spans="1:11" s="28" customFormat="1" ht="118.5" customHeight="1" x14ac:dyDescent="0.3">
      <c r="A455" s="53">
        <v>403</v>
      </c>
      <c r="B455" s="243"/>
      <c r="C455" s="18" t="s">
        <v>687</v>
      </c>
      <c r="D455" s="20" t="s">
        <v>688</v>
      </c>
      <c r="E455" s="1" t="s">
        <v>19</v>
      </c>
      <c r="F455" s="193">
        <v>3378.1</v>
      </c>
      <c r="G455" s="107">
        <v>0</v>
      </c>
      <c r="H455" s="193">
        <v>3378.1</v>
      </c>
      <c r="I455" s="107">
        <v>0</v>
      </c>
      <c r="J455" s="107">
        <v>0</v>
      </c>
      <c r="K455" s="16" t="s">
        <v>190</v>
      </c>
    </row>
    <row r="456" spans="1:11" s="28" customFormat="1" ht="118.8" x14ac:dyDescent="0.3">
      <c r="A456" s="53">
        <v>404</v>
      </c>
      <c r="B456" s="243"/>
      <c r="C456" s="18" t="s">
        <v>689</v>
      </c>
      <c r="D456" s="20" t="s">
        <v>688</v>
      </c>
      <c r="E456" s="1" t="s">
        <v>19</v>
      </c>
      <c r="F456" s="193">
        <v>925.1</v>
      </c>
      <c r="G456" s="193">
        <v>925.1</v>
      </c>
      <c r="H456" s="107">
        <v>0</v>
      </c>
      <c r="I456" s="107">
        <v>0</v>
      </c>
      <c r="J456" s="107">
        <v>0</v>
      </c>
      <c r="K456" s="16" t="s">
        <v>143</v>
      </c>
    </row>
    <row r="457" spans="1:11" s="28" customFormat="1" ht="171.6" x14ac:dyDescent="0.3">
      <c r="A457" s="53">
        <v>405</v>
      </c>
      <c r="B457" s="243"/>
      <c r="C457" s="18" t="s">
        <v>690</v>
      </c>
      <c r="D457" s="20" t="s">
        <v>691</v>
      </c>
      <c r="E457" s="1" t="s">
        <v>19</v>
      </c>
      <c r="F457" s="193">
        <v>8810.44</v>
      </c>
      <c r="G457" s="107">
        <v>0</v>
      </c>
      <c r="H457" s="193">
        <v>8810.44</v>
      </c>
      <c r="I457" s="107">
        <v>0</v>
      </c>
      <c r="J457" s="107">
        <v>0</v>
      </c>
      <c r="K457" s="16" t="s">
        <v>190</v>
      </c>
    </row>
    <row r="458" spans="1:11" s="28" customFormat="1" ht="171.6" x14ac:dyDescent="0.3">
      <c r="A458" s="53">
        <v>406</v>
      </c>
      <c r="B458" s="243"/>
      <c r="C458" s="18" t="s">
        <v>692</v>
      </c>
      <c r="D458" s="20" t="s">
        <v>691</v>
      </c>
      <c r="E458" s="1" t="s">
        <v>19</v>
      </c>
      <c r="F458" s="193">
        <v>1475.41</v>
      </c>
      <c r="G458" s="193">
        <v>1475.41</v>
      </c>
      <c r="H458" s="107">
        <v>0</v>
      </c>
      <c r="I458" s="107">
        <v>0</v>
      </c>
      <c r="J458" s="107">
        <v>0</v>
      </c>
      <c r="K458" s="16" t="s">
        <v>143</v>
      </c>
    </row>
    <row r="459" spans="1:11" s="28" customFormat="1" ht="66" x14ac:dyDescent="0.3">
      <c r="A459" s="53">
        <v>407</v>
      </c>
      <c r="B459" s="243"/>
      <c r="C459" s="18" t="s">
        <v>693</v>
      </c>
      <c r="D459" s="16" t="s">
        <v>694</v>
      </c>
      <c r="E459" s="1" t="s">
        <v>695</v>
      </c>
      <c r="F459" s="193">
        <v>8776.27</v>
      </c>
      <c r="G459" s="107">
        <v>0</v>
      </c>
      <c r="H459" s="193">
        <v>8776.27</v>
      </c>
      <c r="I459" s="107">
        <v>0</v>
      </c>
      <c r="J459" s="107">
        <v>0</v>
      </c>
      <c r="K459" s="16" t="s">
        <v>190</v>
      </c>
    </row>
    <row r="460" spans="1:11" s="28" customFormat="1" ht="171.6" x14ac:dyDescent="0.3">
      <c r="A460" s="53">
        <v>408</v>
      </c>
      <c r="B460" s="243"/>
      <c r="C460" s="18" t="s">
        <v>696</v>
      </c>
      <c r="D460" s="20" t="s">
        <v>697</v>
      </c>
      <c r="E460" s="1" t="s">
        <v>19</v>
      </c>
      <c r="F460" s="193">
        <v>1832.21</v>
      </c>
      <c r="G460" s="107">
        <v>0</v>
      </c>
      <c r="H460" s="193">
        <v>1832.21</v>
      </c>
      <c r="I460" s="107">
        <v>0</v>
      </c>
      <c r="J460" s="107">
        <v>0</v>
      </c>
      <c r="K460" s="16" t="s">
        <v>215</v>
      </c>
    </row>
    <row r="461" spans="1:11" s="28" customFormat="1" ht="26.4" x14ac:dyDescent="0.3">
      <c r="A461" s="53">
        <v>409</v>
      </c>
      <c r="B461" s="243"/>
      <c r="C461" s="18" t="s">
        <v>698</v>
      </c>
      <c r="D461" s="16" t="s">
        <v>137</v>
      </c>
      <c r="E461" s="1" t="s">
        <v>19</v>
      </c>
      <c r="F461" s="193">
        <v>1749.6</v>
      </c>
      <c r="G461" s="193">
        <v>1749.6</v>
      </c>
      <c r="H461" s="107">
        <v>0</v>
      </c>
      <c r="I461" s="107">
        <v>0</v>
      </c>
      <c r="J461" s="107">
        <v>0</v>
      </c>
      <c r="K461" s="16" t="s">
        <v>143</v>
      </c>
    </row>
    <row r="462" spans="1:11" s="28" customFormat="1" ht="39.6" x14ac:dyDescent="0.3">
      <c r="A462" s="53">
        <v>410</v>
      </c>
      <c r="B462" s="243"/>
      <c r="C462" s="18" t="s">
        <v>699</v>
      </c>
      <c r="D462" s="16" t="s">
        <v>700</v>
      </c>
      <c r="E462" s="1" t="s">
        <v>19</v>
      </c>
      <c r="F462" s="193">
        <v>432</v>
      </c>
      <c r="G462" s="107">
        <v>0</v>
      </c>
      <c r="H462" s="193">
        <v>432</v>
      </c>
      <c r="I462" s="107">
        <v>0</v>
      </c>
      <c r="J462" s="107">
        <v>0</v>
      </c>
      <c r="K462" s="16" t="s">
        <v>215</v>
      </c>
    </row>
    <row r="463" spans="1:11" s="28" customFormat="1" ht="92.4" x14ac:dyDescent="0.3">
      <c r="A463" s="53">
        <v>411</v>
      </c>
      <c r="B463" s="243"/>
      <c r="C463" s="18" t="s">
        <v>701</v>
      </c>
      <c r="D463" s="16" t="s">
        <v>702</v>
      </c>
      <c r="E463" s="1" t="s">
        <v>665</v>
      </c>
      <c r="F463" s="193">
        <v>184.8</v>
      </c>
      <c r="G463" s="107">
        <v>0</v>
      </c>
      <c r="H463" s="193">
        <v>184.8</v>
      </c>
      <c r="I463" s="107">
        <v>0</v>
      </c>
      <c r="J463" s="107">
        <v>0</v>
      </c>
      <c r="K463" s="16" t="s">
        <v>215</v>
      </c>
    </row>
    <row r="464" spans="1:11" s="28" customFormat="1" ht="26.4" x14ac:dyDescent="0.3">
      <c r="A464" s="53">
        <v>412</v>
      </c>
      <c r="B464" s="243"/>
      <c r="C464" s="18" t="s">
        <v>703</v>
      </c>
      <c r="D464" s="16" t="s">
        <v>704</v>
      </c>
      <c r="E464" s="1" t="s">
        <v>19</v>
      </c>
      <c r="F464" s="193">
        <f>H464+I464</f>
        <v>1565.88</v>
      </c>
      <c r="G464" s="107">
        <v>0</v>
      </c>
      <c r="H464" s="107">
        <v>782.94</v>
      </c>
      <c r="I464" s="107">
        <v>782.94</v>
      </c>
      <c r="J464" s="107">
        <v>0</v>
      </c>
      <c r="K464" s="16" t="s">
        <v>215</v>
      </c>
    </row>
    <row r="465" spans="1:12" s="28" customFormat="1" ht="52.8" x14ac:dyDescent="0.3">
      <c r="A465" s="53">
        <v>413</v>
      </c>
      <c r="B465" s="243"/>
      <c r="C465" s="18" t="s">
        <v>705</v>
      </c>
      <c r="D465" s="16" t="s">
        <v>706</v>
      </c>
      <c r="E465" s="1" t="s">
        <v>19</v>
      </c>
      <c r="F465" s="193">
        <v>264.5</v>
      </c>
      <c r="G465" s="107">
        <v>0</v>
      </c>
      <c r="H465" s="193">
        <v>264.5</v>
      </c>
      <c r="I465" s="107">
        <v>0</v>
      </c>
      <c r="J465" s="107">
        <v>0</v>
      </c>
      <c r="K465" s="16" t="s">
        <v>215</v>
      </c>
    </row>
    <row r="466" spans="1:12" s="28" customFormat="1" ht="92.4" x14ac:dyDescent="0.3">
      <c r="A466" s="53">
        <v>414</v>
      </c>
      <c r="B466" s="243"/>
      <c r="C466" s="18" t="s">
        <v>707</v>
      </c>
      <c r="D466" s="16" t="s">
        <v>708</v>
      </c>
      <c r="E466" s="1" t="s">
        <v>19</v>
      </c>
      <c r="F466" s="193">
        <v>304.41000000000003</v>
      </c>
      <c r="G466" s="107">
        <v>0</v>
      </c>
      <c r="H466" s="193">
        <v>304.41000000000003</v>
      </c>
      <c r="I466" s="107">
        <v>0</v>
      </c>
      <c r="J466" s="107">
        <v>0</v>
      </c>
      <c r="K466" s="16" t="s">
        <v>215</v>
      </c>
    </row>
    <row r="467" spans="1:12" s="28" customFormat="1" ht="39.6" x14ac:dyDescent="0.3">
      <c r="A467" s="53">
        <v>415</v>
      </c>
      <c r="B467" s="243"/>
      <c r="C467" s="18" t="s">
        <v>709</v>
      </c>
      <c r="D467" s="16" t="s">
        <v>710</v>
      </c>
      <c r="E467" s="1" t="s">
        <v>19</v>
      </c>
      <c r="F467" s="193">
        <v>580.14</v>
      </c>
      <c r="G467" s="107">
        <v>0</v>
      </c>
      <c r="H467" s="193">
        <v>580.14</v>
      </c>
      <c r="I467" s="107">
        <v>0</v>
      </c>
      <c r="J467" s="107">
        <v>0</v>
      </c>
      <c r="K467" s="16" t="s">
        <v>190</v>
      </c>
    </row>
    <row r="468" spans="1:12" s="28" customFormat="1" ht="56.25" customHeight="1" x14ac:dyDescent="0.3">
      <c r="A468" s="53">
        <v>416</v>
      </c>
      <c r="B468" s="243"/>
      <c r="C468" s="18" t="s">
        <v>711</v>
      </c>
      <c r="D468" s="16" t="s">
        <v>712</v>
      </c>
      <c r="E468" s="1" t="s">
        <v>18</v>
      </c>
      <c r="F468" s="193">
        <v>249.95</v>
      </c>
      <c r="G468" s="193">
        <v>249.95</v>
      </c>
      <c r="H468" s="107">
        <v>0</v>
      </c>
      <c r="I468" s="107">
        <v>0</v>
      </c>
      <c r="J468" s="107">
        <v>0</v>
      </c>
      <c r="K468" s="16" t="s">
        <v>143</v>
      </c>
    </row>
    <row r="469" spans="1:12" s="28" customFormat="1" ht="52.8" x14ac:dyDescent="0.3">
      <c r="A469" s="53">
        <v>417</v>
      </c>
      <c r="B469" s="243"/>
      <c r="C469" s="18" t="s">
        <v>713</v>
      </c>
      <c r="D469" s="16" t="s">
        <v>714</v>
      </c>
      <c r="E469" s="1" t="s">
        <v>19</v>
      </c>
      <c r="F469" s="193">
        <v>168.55</v>
      </c>
      <c r="G469" s="193">
        <v>168.55</v>
      </c>
      <c r="H469" s="107">
        <v>0</v>
      </c>
      <c r="I469" s="107">
        <v>0</v>
      </c>
      <c r="J469" s="107">
        <v>0</v>
      </c>
      <c r="K469" s="16" t="s">
        <v>143</v>
      </c>
    </row>
    <row r="470" spans="1:12" s="28" customFormat="1" ht="52.8" x14ac:dyDescent="0.3">
      <c r="A470" s="53">
        <v>418</v>
      </c>
      <c r="B470" s="243"/>
      <c r="C470" s="18" t="s">
        <v>715</v>
      </c>
      <c r="D470" s="16" t="s">
        <v>716</v>
      </c>
      <c r="E470" s="1" t="s">
        <v>19</v>
      </c>
      <c r="F470" s="193">
        <v>282.89999999999998</v>
      </c>
      <c r="G470" s="107">
        <v>0</v>
      </c>
      <c r="H470" s="193">
        <v>282.89999999999998</v>
      </c>
      <c r="I470" s="107">
        <v>0</v>
      </c>
      <c r="J470" s="107">
        <v>0</v>
      </c>
      <c r="K470" s="16" t="s">
        <v>215</v>
      </c>
    </row>
    <row r="471" spans="1:12" s="28" customFormat="1" ht="52.8" x14ac:dyDescent="0.3">
      <c r="A471" s="53">
        <v>419</v>
      </c>
      <c r="B471" s="243"/>
      <c r="C471" s="18" t="s">
        <v>717</v>
      </c>
      <c r="D471" s="16" t="s">
        <v>718</v>
      </c>
      <c r="E471" s="1" t="s">
        <v>18</v>
      </c>
      <c r="F471" s="193">
        <v>180.47</v>
      </c>
      <c r="G471" s="193">
        <v>180.47</v>
      </c>
      <c r="H471" s="107">
        <v>0</v>
      </c>
      <c r="I471" s="107">
        <v>0</v>
      </c>
      <c r="J471" s="107">
        <v>0</v>
      </c>
      <c r="K471" s="16" t="s">
        <v>143</v>
      </c>
    </row>
    <row r="472" spans="1:12" s="28" customFormat="1" ht="52.8" x14ac:dyDescent="0.3">
      <c r="A472" s="53">
        <v>420</v>
      </c>
      <c r="B472" s="243"/>
      <c r="C472" s="18" t="s">
        <v>719</v>
      </c>
      <c r="D472" s="16" t="s">
        <v>720</v>
      </c>
      <c r="E472" s="1" t="s">
        <v>19</v>
      </c>
      <c r="F472" s="193">
        <f>G472+H472</f>
        <v>3264</v>
      </c>
      <c r="G472" s="107">
        <v>960</v>
      </c>
      <c r="H472" s="107">
        <v>2304</v>
      </c>
      <c r="I472" s="107">
        <v>0</v>
      </c>
      <c r="J472" s="107">
        <v>0</v>
      </c>
      <c r="K472" s="16" t="s">
        <v>143</v>
      </c>
    </row>
    <row r="473" spans="1:12" s="28" customFormat="1" ht="39.6" x14ac:dyDescent="0.3">
      <c r="A473" s="53">
        <v>421</v>
      </c>
      <c r="B473" s="243"/>
      <c r="C473" s="18" t="s">
        <v>721</v>
      </c>
      <c r="D473" s="16" t="s">
        <v>722</v>
      </c>
      <c r="E473" s="1" t="s">
        <v>19</v>
      </c>
      <c r="F473" s="193">
        <v>138.13</v>
      </c>
      <c r="G473" s="193">
        <v>138.13</v>
      </c>
      <c r="H473" s="107">
        <v>0</v>
      </c>
      <c r="I473" s="107">
        <v>0</v>
      </c>
      <c r="J473" s="107">
        <v>0</v>
      </c>
      <c r="K473" s="16" t="s">
        <v>143</v>
      </c>
    </row>
    <row r="474" spans="1:12" s="28" customFormat="1" ht="52.8" x14ac:dyDescent="0.3">
      <c r="A474" s="53">
        <v>422</v>
      </c>
      <c r="B474" s="243"/>
      <c r="C474" s="18" t="s">
        <v>723</v>
      </c>
      <c r="D474" s="16" t="s">
        <v>724</v>
      </c>
      <c r="E474" s="1" t="s">
        <v>19</v>
      </c>
      <c r="F474" s="193">
        <f>H474+I474</f>
        <v>181.81</v>
      </c>
      <c r="G474" s="107">
        <v>0</v>
      </c>
      <c r="H474" s="107">
        <v>137.41</v>
      </c>
      <c r="I474" s="107">
        <v>44.4</v>
      </c>
      <c r="J474" s="107">
        <v>0</v>
      </c>
      <c r="K474" s="16" t="s">
        <v>215</v>
      </c>
    </row>
    <row r="475" spans="1:12" s="28" customFormat="1" ht="26.4" x14ac:dyDescent="0.3">
      <c r="A475" s="53">
        <v>423</v>
      </c>
      <c r="B475" s="243"/>
      <c r="C475" s="18" t="s">
        <v>725</v>
      </c>
      <c r="D475" s="16" t="s">
        <v>726</v>
      </c>
      <c r="E475" s="1" t="s">
        <v>19</v>
      </c>
      <c r="F475" s="193">
        <v>2481</v>
      </c>
      <c r="G475" s="193">
        <v>2481</v>
      </c>
      <c r="H475" s="107">
        <v>0</v>
      </c>
      <c r="I475" s="107">
        <v>0</v>
      </c>
      <c r="J475" s="107">
        <v>0</v>
      </c>
      <c r="K475" s="16" t="s">
        <v>143</v>
      </c>
    </row>
    <row r="476" spans="1:12" s="28" customFormat="1" ht="26.4" x14ac:dyDescent="0.3">
      <c r="A476" s="53">
        <v>424</v>
      </c>
      <c r="B476" s="243"/>
      <c r="C476" s="18" t="s">
        <v>727</v>
      </c>
      <c r="D476" s="1" t="s">
        <v>591</v>
      </c>
      <c r="E476" s="1" t="s">
        <v>19</v>
      </c>
      <c r="F476" s="193">
        <v>112.33</v>
      </c>
      <c r="G476" s="193">
        <v>112.33</v>
      </c>
      <c r="H476" s="107">
        <v>0</v>
      </c>
      <c r="I476" s="107">
        <v>0</v>
      </c>
      <c r="J476" s="107">
        <v>0</v>
      </c>
      <c r="K476" s="16" t="s">
        <v>143</v>
      </c>
    </row>
    <row r="477" spans="1:12" s="28" customFormat="1" ht="26.4" x14ac:dyDescent="0.3">
      <c r="A477" s="53">
        <v>425</v>
      </c>
      <c r="B477" s="244"/>
      <c r="C477" s="21" t="s">
        <v>728</v>
      </c>
      <c r="D477" s="28" t="s">
        <v>729</v>
      </c>
      <c r="E477" s="1" t="s">
        <v>19</v>
      </c>
      <c r="F477" s="193">
        <f>G477+H477+I477</f>
        <v>2089.56</v>
      </c>
      <c r="G477" s="107">
        <v>695.52</v>
      </c>
      <c r="H477" s="107">
        <v>696.52</v>
      </c>
      <c r="I477" s="107">
        <v>697.52</v>
      </c>
      <c r="J477" s="107">
        <v>0</v>
      </c>
      <c r="K477" s="16" t="s">
        <v>143</v>
      </c>
    </row>
    <row r="478" spans="1:12" s="32" customFormat="1" ht="30.6" customHeight="1" x14ac:dyDescent="0.3">
      <c r="A478" s="250" t="s">
        <v>817</v>
      </c>
      <c r="B478" s="251"/>
      <c r="C478" s="252"/>
      <c r="D478" s="34"/>
      <c r="E478" s="34"/>
      <c r="F478" s="134">
        <f>SUM(F429:F477)</f>
        <v>138602.07000000004</v>
      </c>
      <c r="G478" s="134">
        <f t="shared" ref="G478:J478" si="54">SUM(G429:G477)</f>
        <v>86565.120000000039</v>
      </c>
      <c r="H478" s="134">
        <f t="shared" si="54"/>
        <v>46119.430000000015</v>
      </c>
      <c r="I478" s="134">
        <f t="shared" si="54"/>
        <v>5917.52</v>
      </c>
      <c r="J478" s="134">
        <f t="shared" si="54"/>
        <v>0</v>
      </c>
      <c r="K478" s="19"/>
      <c r="L478" s="58"/>
    </row>
    <row r="479" spans="1:12" s="28" customFormat="1" ht="26.4" x14ac:dyDescent="0.3">
      <c r="A479" s="13">
        <v>426</v>
      </c>
      <c r="B479" s="242" t="s">
        <v>638</v>
      </c>
      <c r="C479" s="18" t="s">
        <v>730</v>
      </c>
      <c r="D479" s="16" t="s">
        <v>589</v>
      </c>
      <c r="E479" s="42" t="s">
        <v>19</v>
      </c>
      <c r="F479" s="107">
        <v>12696.24</v>
      </c>
      <c r="G479" s="107">
        <v>0</v>
      </c>
      <c r="H479" s="107">
        <v>12696.24</v>
      </c>
      <c r="I479" s="107">
        <v>0</v>
      </c>
      <c r="J479" s="107">
        <v>0</v>
      </c>
      <c r="K479" s="16" t="s">
        <v>156</v>
      </c>
    </row>
    <row r="480" spans="1:12" s="28" customFormat="1" ht="26.4" x14ac:dyDescent="0.3">
      <c r="A480" s="13">
        <v>427</v>
      </c>
      <c r="B480" s="243"/>
      <c r="C480" s="18" t="s">
        <v>731</v>
      </c>
      <c r="D480" s="16" t="s">
        <v>358</v>
      </c>
      <c r="E480" s="42" t="s">
        <v>19</v>
      </c>
      <c r="F480" s="107">
        <v>3782.22</v>
      </c>
      <c r="G480" s="107">
        <v>0</v>
      </c>
      <c r="H480" s="107">
        <v>3782.22</v>
      </c>
      <c r="I480" s="107">
        <v>0</v>
      </c>
      <c r="J480" s="107">
        <v>0</v>
      </c>
      <c r="K480" s="16" t="s">
        <v>156</v>
      </c>
    </row>
    <row r="481" spans="1:11" s="28" customFormat="1" ht="26.4" x14ac:dyDescent="0.3">
      <c r="A481" s="53">
        <v>428</v>
      </c>
      <c r="B481" s="243"/>
      <c r="C481" s="18" t="s">
        <v>732</v>
      </c>
      <c r="D481" s="16" t="s">
        <v>591</v>
      </c>
      <c r="E481" s="42" t="s">
        <v>19</v>
      </c>
      <c r="F481" s="107">
        <v>112.33</v>
      </c>
      <c r="G481" s="107">
        <v>0</v>
      </c>
      <c r="H481" s="107">
        <v>112.33</v>
      </c>
      <c r="I481" s="107">
        <v>0</v>
      </c>
      <c r="J481" s="107">
        <v>0</v>
      </c>
      <c r="K481" s="16" t="s">
        <v>156</v>
      </c>
    </row>
    <row r="482" spans="1:11" s="28" customFormat="1" ht="26.4" x14ac:dyDescent="0.3">
      <c r="A482" s="53">
        <v>429</v>
      </c>
      <c r="B482" s="243"/>
      <c r="C482" s="18" t="s">
        <v>733</v>
      </c>
      <c r="D482" s="16" t="s">
        <v>644</v>
      </c>
      <c r="E482" s="42" t="s">
        <v>19</v>
      </c>
      <c r="F482" s="107">
        <v>10000</v>
      </c>
      <c r="G482" s="107">
        <v>0</v>
      </c>
      <c r="H482" s="107">
        <v>10000</v>
      </c>
      <c r="I482" s="107">
        <v>0</v>
      </c>
      <c r="J482" s="107">
        <v>0</v>
      </c>
      <c r="K482" s="16" t="s">
        <v>156</v>
      </c>
    </row>
    <row r="483" spans="1:11" s="28" customFormat="1" ht="26.4" x14ac:dyDescent="0.3">
      <c r="A483" s="53">
        <v>430</v>
      </c>
      <c r="B483" s="243"/>
      <c r="C483" s="18" t="s">
        <v>734</v>
      </c>
      <c r="D483" s="16" t="s">
        <v>137</v>
      </c>
      <c r="E483" s="42" t="s">
        <v>19</v>
      </c>
      <c r="F483" s="107">
        <v>4392</v>
      </c>
      <c r="G483" s="107">
        <v>0</v>
      </c>
      <c r="H483" s="107">
        <v>0</v>
      </c>
      <c r="I483" s="107">
        <v>4392</v>
      </c>
      <c r="J483" s="107">
        <v>0</v>
      </c>
      <c r="K483" s="16" t="s">
        <v>201</v>
      </c>
    </row>
    <row r="484" spans="1:11" s="28" customFormat="1" ht="39.6" x14ac:dyDescent="0.3">
      <c r="A484" s="53">
        <v>431</v>
      </c>
      <c r="B484" s="243"/>
      <c r="C484" s="18" t="s">
        <v>735</v>
      </c>
      <c r="D484" s="16" t="s">
        <v>647</v>
      </c>
      <c r="E484" s="42" t="s">
        <v>19</v>
      </c>
      <c r="F484" s="107">
        <v>190.8</v>
      </c>
      <c r="G484" s="107">
        <v>0</v>
      </c>
      <c r="H484" s="107">
        <v>190.8</v>
      </c>
      <c r="I484" s="107">
        <v>0</v>
      </c>
      <c r="J484" s="107">
        <v>0</v>
      </c>
      <c r="K484" s="16" t="s">
        <v>156</v>
      </c>
    </row>
    <row r="485" spans="1:11" s="28" customFormat="1" ht="66" x14ac:dyDescent="0.3">
      <c r="A485" s="53">
        <v>432</v>
      </c>
      <c r="B485" s="243"/>
      <c r="C485" s="18" t="s">
        <v>736</v>
      </c>
      <c r="D485" s="16" t="s">
        <v>737</v>
      </c>
      <c r="E485" s="42" t="s">
        <v>19</v>
      </c>
      <c r="F485" s="107">
        <v>1500</v>
      </c>
      <c r="G485" s="107">
        <v>0</v>
      </c>
      <c r="H485" s="107">
        <v>0</v>
      </c>
      <c r="I485" s="107">
        <v>1500</v>
      </c>
      <c r="J485" s="107">
        <v>0</v>
      </c>
      <c r="K485" s="16" t="s">
        <v>201</v>
      </c>
    </row>
    <row r="486" spans="1:11" s="28" customFormat="1" ht="52.8" x14ac:dyDescent="0.3">
      <c r="A486" s="53">
        <v>433</v>
      </c>
      <c r="B486" s="243"/>
      <c r="C486" s="18" t="s">
        <v>738</v>
      </c>
      <c r="D486" s="16" t="s">
        <v>739</v>
      </c>
      <c r="E486" s="42" t="s">
        <v>19</v>
      </c>
      <c r="F486" s="107">
        <v>1793.99</v>
      </c>
      <c r="G486" s="107">
        <v>0</v>
      </c>
      <c r="H486" s="107">
        <v>0</v>
      </c>
      <c r="I486" s="107">
        <v>1793.99</v>
      </c>
      <c r="J486" s="107">
        <v>0</v>
      </c>
      <c r="K486" s="16" t="s">
        <v>201</v>
      </c>
    </row>
    <row r="487" spans="1:11" s="28" customFormat="1" ht="39" customHeight="1" x14ac:dyDescent="0.3">
      <c r="A487" s="53">
        <v>434</v>
      </c>
      <c r="B487" s="243"/>
      <c r="C487" s="18" t="s">
        <v>740</v>
      </c>
      <c r="D487" s="16" t="s">
        <v>741</v>
      </c>
      <c r="E487" s="42" t="s">
        <v>19</v>
      </c>
      <c r="F487" s="101">
        <v>789.24</v>
      </c>
      <c r="G487" s="101">
        <v>0</v>
      </c>
      <c r="H487" s="101">
        <v>0</v>
      </c>
      <c r="I487" s="101">
        <v>789.24</v>
      </c>
      <c r="J487" s="101">
        <v>0</v>
      </c>
      <c r="K487" s="16" t="s">
        <v>201</v>
      </c>
    </row>
    <row r="488" spans="1:11" s="28" customFormat="1" ht="26.4" x14ac:dyDescent="0.3">
      <c r="A488" s="53">
        <v>435</v>
      </c>
      <c r="B488" s="243"/>
      <c r="C488" s="18" t="s">
        <v>742</v>
      </c>
      <c r="D488" s="16" t="s">
        <v>729</v>
      </c>
      <c r="E488" s="42" t="s">
        <v>19</v>
      </c>
      <c r="F488" s="107">
        <v>274.39999999999998</v>
      </c>
      <c r="G488" s="107">
        <v>0</v>
      </c>
      <c r="H488" s="107">
        <v>0</v>
      </c>
      <c r="I488" s="107">
        <v>274.39999999999998</v>
      </c>
      <c r="J488" s="107">
        <v>0</v>
      </c>
      <c r="K488" s="16" t="s">
        <v>201</v>
      </c>
    </row>
    <row r="489" spans="1:11" s="28" customFormat="1" ht="39.6" x14ac:dyDescent="0.3">
      <c r="A489" s="53">
        <v>436</v>
      </c>
      <c r="B489" s="243"/>
      <c r="C489" s="18" t="s">
        <v>743</v>
      </c>
      <c r="D489" s="16" t="s">
        <v>744</v>
      </c>
      <c r="E489" s="42" t="s">
        <v>19</v>
      </c>
      <c r="F489" s="107">
        <v>1673.9</v>
      </c>
      <c r="G489" s="107">
        <v>0</v>
      </c>
      <c r="H489" s="107">
        <v>0</v>
      </c>
      <c r="I489" s="107">
        <v>1673.9</v>
      </c>
      <c r="J489" s="107">
        <v>0</v>
      </c>
      <c r="K489" s="16" t="s">
        <v>201</v>
      </c>
    </row>
    <row r="490" spans="1:11" s="28" customFormat="1" ht="52.8" x14ac:dyDescent="0.3">
      <c r="A490" s="53">
        <v>437</v>
      </c>
      <c r="B490" s="243"/>
      <c r="C490" s="18" t="s">
        <v>745</v>
      </c>
      <c r="D490" s="16" t="s">
        <v>746</v>
      </c>
      <c r="E490" s="42" t="s">
        <v>19</v>
      </c>
      <c r="F490" s="107">
        <v>8487.4</v>
      </c>
      <c r="G490" s="107">
        <v>0</v>
      </c>
      <c r="H490" s="107">
        <v>0</v>
      </c>
      <c r="I490" s="107">
        <v>8487.4</v>
      </c>
      <c r="J490" s="107">
        <v>0</v>
      </c>
      <c r="K490" s="16" t="s">
        <v>201</v>
      </c>
    </row>
    <row r="491" spans="1:11" s="28" customFormat="1" ht="39.6" x14ac:dyDescent="0.3">
      <c r="A491" s="53">
        <v>438</v>
      </c>
      <c r="B491" s="243"/>
      <c r="C491" s="18" t="s">
        <v>747</v>
      </c>
      <c r="D491" s="16" t="s">
        <v>748</v>
      </c>
      <c r="E491" s="42" t="s">
        <v>19</v>
      </c>
      <c r="F491" s="107">
        <v>1278.21</v>
      </c>
      <c r="G491" s="107">
        <v>0</v>
      </c>
      <c r="H491" s="107">
        <v>0</v>
      </c>
      <c r="I491" s="107">
        <v>1278.21</v>
      </c>
      <c r="J491" s="107">
        <v>0</v>
      </c>
      <c r="K491" s="16" t="s">
        <v>201</v>
      </c>
    </row>
    <row r="492" spans="1:11" s="28" customFormat="1" ht="52.8" x14ac:dyDescent="0.3">
      <c r="A492" s="53">
        <v>439</v>
      </c>
      <c r="B492" s="243"/>
      <c r="C492" s="18" t="s">
        <v>749</v>
      </c>
      <c r="D492" s="16" t="s">
        <v>750</v>
      </c>
      <c r="E492" s="42" t="s">
        <v>19</v>
      </c>
      <c r="F492" s="107">
        <v>5544.5</v>
      </c>
      <c r="G492" s="107">
        <v>0</v>
      </c>
      <c r="H492" s="107">
        <v>0</v>
      </c>
      <c r="I492" s="107">
        <v>5544.5</v>
      </c>
      <c r="J492" s="107">
        <v>0</v>
      </c>
      <c r="K492" s="16" t="s">
        <v>201</v>
      </c>
    </row>
    <row r="493" spans="1:11" s="28" customFormat="1" ht="26.4" x14ac:dyDescent="0.3">
      <c r="A493" s="53">
        <v>440</v>
      </c>
      <c r="B493" s="243"/>
      <c r="C493" s="18" t="s">
        <v>751</v>
      </c>
      <c r="D493" s="16" t="s">
        <v>429</v>
      </c>
      <c r="E493" s="42" t="s">
        <v>19</v>
      </c>
      <c r="F493" s="109">
        <v>1827.83</v>
      </c>
      <c r="G493" s="107">
        <v>0</v>
      </c>
      <c r="H493" s="107">
        <v>0</v>
      </c>
      <c r="I493" s="109">
        <v>1827.83</v>
      </c>
      <c r="J493" s="107">
        <v>0</v>
      </c>
      <c r="K493" s="16" t="s">
        <v>201</v>
      </c>
    </row>
    <row r="494" spans="1:11" s="28" customFormat="1" ht="66" x14ac:dyDescent="0.3">
      <c r="A494" s="53">
        <v>441</v>
      </c>
      <c r="B494" s="243"/>
      <c r="C494" s="18" t="s">
        <v>752</v>
      </c>
      <c r="D494" s="16" t="s">
        <v>323</v>
      </c>
      <c r="E494" s="42" t="s">
        <v>19</v>
      </c>
      <c r="F494" s="107">
        <v>6312.1</v>
      </c>
      <c r="G494" s="107">
        <v>0</v>
      </c>
      <c r="H494" s="107">
        <v>0</v>
      </c>
      <c r="I494" s="107">
        <v>6312.1</v>
      </c>
      <c r="J494" s="107">
        <v>0</v>
      </c>
      <c r="K494" s="16" t="s">
        <v>201</v>
      </c>
    </row>
    <row r="495" spans="1:11" s="28" customFormat="1" ht="39.6" x14ac:dyDescent="0.3">
      <c r="A495" s="53">
        <v>442</v>
      </c>
      <c r="B495" s="243"/>
      <c r="C495" s="18" t="s">
        <v>753</v>
      </c>
      <c r="D495" s="16" t="s">
        <v>652</v>
      </c>
      <c r="E495" s="42" t="s">
        <v>19</v>
      </c>
      <c r="F495" s="107">
        <v>1229.25</v>
      </c>
      <c r="G495" s="107">
        <v>0</v>
      </c>
      <c r="H495" s="107">
        <v>1229.25</v>
      </c>
      <c r="I495" s="107">
        <v>0</v>
      </c>
      <c r="J495" s="107">
        <v>0</v>
      </c>
      <c r="K495" s="16" t="s">
        <v>156</v>
      </c>
    </row>
    <row r="496" spans="1:11" s="28" customFormat="1" ht="39.6" x14ac:dyDescent="0.3">
      <c r="A496" s="53">
        <v>443</v>
      </c>
      <c r="B496" s="243"/>
      <c r="C496" s="18" t="s">
        <v>754</v>
      </c>
      <c r="D496" s="16" t="s">
        <v>654</v>
      </c>
      <c r="E496" s="42" t="s">
        <v>19</v>
      </c>
      <c r="F496" s="107">
        <v>5307.22</v>
      </c>
      <c r="G496" s="107">
        <v>0</v>
      </c>
      <c r="H496" s="107">
        <v>5307.22</v>
      </c>
      <c r="I496" s="107">
        <v>0</v>
      </c>
      <c r="J496" s="107">
        <v>0</v>
      </c>
      <c r="K496" s="16" t="s">
        <v>156</v>
      </c>
    </row>
    <row r="497" spans="1:11" s="28" customFormat="1" ht="39.6" x14ac:dyDescent="0.3">
      <c r="A497" s="53">
        <v>444</v>
      </c>
      <c r="B497" s="243"/>
      <c r="C497" s="18" t="s">
        <v>755</v>
      </c>
      <c r="D497" s="16" t="s">
        <v>656</v>
      </c>
      <c r="E497" s="42" t="s">
        <v>19</v>
      </c>
      <c r="F497" s="107">
        <v>1288</v>
      </c>
      <c r="G497" s="107">
        <v>0</v>
      </c>
      <c r="H497" s="107">
        <v>1288</v>
      </c>
      <c r="I497" s="107">
        <v>0</v>
      </c>
      <c r="J497" s="107">
        <v>0</v>
      </c>
      <c r="K497" s="16" t="s">
        <v>156</v>
      </c>
    </row>
    <row r="498" spans="1:11" s="28" customFormat="1" ht="39.6" x14ac:dyDescent="0.3">
      <c r="A498" s="53">
        <v>445</v>
      </c>
      <c r="B498" s="243"/>
      <c r="C498" s="18" t="s">
        <v>756</v>
      </c>
      <c r="D498" s="16" t="s">
        <v>658</v>
      </c>
      <c r="E498" s="42" t="s">
        <v>19</v>
      </c>
      <c r="F498" s="107">
        <v>177.75</v>
      </c>
      <c r="G498" s="107">
        <v>0</v>
      </c>
      <c r="H498" s="107">
        <v>177.75</v>
      </c>
      <c r="I498" s="107">
        <v>0</v>
      </c>
      <c r="J498" s="107">
        <v>0</v>
      </c>
      <c r="K498" s="16" t="s">
        <v>156</v>
      </c>
    </row>
    <row r="499" spans="1:11" s="28" customFormat="1" ht="52.8" x14ac:dyDescent="0.3">
      <c r="A499" s="53">
        <v>446</v>
      </c>
      <c r="B499" s="243"/>
      <c r="C499" s="18" t="s">
        <v>757</v>
      </c>
      <c r="D499" s="16" t="s">
        <v>660</v>
      </c>
      <c r="E499" s="42" t="s">
        <v>19</v>
      </c>
      <c r="F499" s="107">
        <v>241.99</v>
      </c>
      <c r="G499" s="107">
        <v>0</v>
      </c>
      <c r="H499" s="107">
        <v>241.99</v>
      </c>
      <c r="I499" s="107">
        <v>0</v>
      </c>
      <c r="J499" s="107">
        <v>0</v>
      </c>
      <c r="K499" s="16" t="s">
        <v>156</v>
      </c>
    </row>
    <row r="500" spans="1:11" s="28" customFormat="1" ht="39.6" x14ac:dyDescent="0.3">
      <c r="A500" s="53">
        <v>447</v>
      </c>
      <c r="B500" s="243"/>
      <c r="C500" s="18" t="s">
        <v>758</v>
      </c>
      <c r="D500" s="16" t="s">
        <v>662</v>
      </c>
      <c r="E500" s="42" t="s">
        <v>19</v>
      </c>
      <c r="F500" s="107">
        <v>608.96</v>
      </c>
      <c r="G500" s="107">
        <v>0</v>
      </c>
      <c r="H500" s="107">
        <v>608.96</v>
      </c>
      <c r="I500" s="107">
        <v>0</v>
      </c>
      <c r="J500" s="107">
        <v>0</v>
      </c>
      <c r="K500" s="16" t="s">
        <v>156</v>
      </c>
    </row>
    <row r="501" spans="1:11" s="28" customFormat="1" ht="39.6" x14ac:dyDescent="0.3">
      <c r="A501" s="53">
        <v>448</v>
      </c>
      <c r="B501" s="243"/>
      <c r="C501" s="18" t="s">
        <v>759</v>
      </c>
      <c r="D501" s="16" t="s">
        <v>664</v>
      </c>
      <c r="E501" s="42" t="s">
        <v>19</v>
      </c>
      <c r="F501" s="107">
        <v>89.25</v>
      </c>
      <c r="G501" s="107">
        <v>0</v>
      </c>
      <c r="H501" s="107">
        <v>89.25</v>
      </c>
      <c r="I501" s="107">
        <v>0</v>
      </c>
      <c r="J501" s="107">
        <v>0</v>
      </c>
      <c r="K501" s="16" t="s">
        <v>156</v>
      </c>
    </row>
    <row r="502" spans="1:11" s="28" customFormat="1" ht="52.8" x14ac:dyDescent="0.3">
      <c r="A502" s="53">
        <v>449</v>
      </c>
      <c r="B502" s="243"/>
      <c r="C502" s="18" t="s">
        <v>760</v>
      </c>
      <c r="D502" s="16" t="s">
        <v>667</v>
      </c>
      <c r="E502" s="42" t="s">
        <v>19</v>
      </c>
      <c r="F502" s="107">
        <v>269.67</v>
      </c>
      <c r="G502" s="107">
        <v>0</v>
      </c>
      <c r="H502" s="107">
        <v>269.67</v>
      </c>
      <c r="I502" s="107">
        <v>0</v>
      </c>
      <c r="J502" s="107">
        <v>0</v>
      </c>
      <c r="K502" s="16" t="s">
        <v>156</v>
      </c>
    </row>
    <row r="503" spans="1:11" s="28" customFormat="1" ht="66" x14ac:dyDescent="0.3">
      <c r="A503" s="53">
        <v>450</v>
      </c>
      <c r="B503" s="243"/>
      <c r="C503" s="18" t="s">
        <v>761</v>
      </c>
      <c r="D503" s="16" t="s">
        <v>669</v>
      </c>
      <c r="E503" s="42" t="s">
        <v>19</v>
      </c>
      <c r="F503" s="107">
        <v>118.33</v>
      </c>
      <c r="G503" s="107">
        <v>0</v>
      </c>
      <c r="H503" s="107">
        <v>118.33</v>
      </c>
      <c r="I503" s="107">
        <v>0</v>
      </c>
      <c r="J503" s="107">
        <v>0</v>
      </c>
      <c r="K503" s="16" t="s">
        <v>156</v>
      </c>
    </row>
    <row r="504" spans="1:11" s="28" customFormat="1" ht="92.4" x14ac:dyDescent="0.3">
      <c r="A504" s="53">
        <v>451</v>
      </c>
      <c r="B504" s="243"/>
      <c r="C504" s="18" t="s">
        <v>762</v>
      </c>
      <c r="D504" s="16" t="s">
        <v>671</v>
      </c>
      <c r="E504" s="42" t="s">
        <v>19</v>
      </c>
      <c r="F504" s="107">
        <v>781.28</v>
      </c>
      <c r="G504" s="107">
        <v>0</v>
      </c>
      <c r="H504" s="107">
        <v>781.28</v>
      </c>
      <c r="I504" s="107">
        <v>0</v>
      </c>
      <c r="J504" s="107">
        <v>0</v>
      </c>
      <c r="K504" s="16" t="s">
        <v>156</v>
      </c>
    </row>
    <row r="505" spans="1:11" s="28" customFormat="1" ht="52.8" x14ac:dyDescent="0.3">
      <c r="A505" s="53">
        <v>452</v>
      </c>
      <c r="B505" s="243"/>
      <c r="C505" s="18" t="s">
        <v>763</v>
      </c>
      <c r="D505" s="16" t="s">
        <v>673</v>
      </c>
      <c r="E505" s="42" t="s">
        <v>19</v>
      </c>
      <c r="F505" s="107">
        <v>201.12</v>
      </c>
      <c r="G505" s="107">
        <v>0</v>
      </c>
      <c r="H505" s="107">
        <v>201.12</v>
      </c>
      <c r="I505" s="107">
        <v>0</v>
      </c>
      <c r="J505" s="107">
        <v>0</v>
      </c>
      <c r="K505" s="16" t="s">
        <v>156</v>
      </c>
    </row>
    <row r="506" spans="1:11" s="28" customFormat="1" ht="52.8" x14ac:dyDescent="0.3">
      <c r="A506" s="53">
        <v>453</v>
      </c>
      <c r="B506" s="243"/>
      <c r="C506" s="18" t="s">
        <v>764</v>
      </c>
      <c r="D506" s="16" t="s">
        <v>675</v>
      </c>
      <c r="E506" s="42" t="s">
        <v>19</v>
      </c>
      <c r="F506" s="107">
        <v>457.08</v>
      </c>
      <c r="G506" s="107">
        <v>0</v>
      </c>
      <c r="H506" s="107">
        <v>457.08</v>
      </c>
      <c r="I506" s="107">
        <v>0</v>
      </c>
      <c r="J506" s="107">
        <v>0</v>
      </c>
      <c r="K506" s="16" t="s">
        <v>156</v>
      </c>
    </row>
    <row r="507" spans="1:11" s="28" customFormat="1" ht="26.4" x14ac:dyDescent="0.3">
      <c r="A507" s="53">
        <v>454</v>
      </c>
      <c r="B507" s="243"/>
      <c r="C507" s="18" t="s">
        <v>765</v>
      </c>
      <c r="D507" s="16" t="s">
        <v>679</v>
      </c>
      <c r="E507" s="42" t="s">
        <v>19</v>
      </c>
      <c r="F507" s="107">
        <v>1115.71</v>
      </c>
      <c r="G507" s="107">
        <v>0</v>
      </c>
      <c r="H507" s="107">
        <v>0</v>
      </c>
      <c r="I507" s="107">
        <v>1115.71</v>
      </c>
      <c r="J507" s="107">
        <v>0</v>
      </c>
      <c r="K507" s="16" t="s">
        <v>201</v>
      </c>
    </row>
    <row r="508" spans="1:11" s="28" customFormat="1" ht="66" x14ac:dyDescent="0.3">
      <c r="A508" s="53">
        <v>455</v>
      </c>
      <c r="B508" s="243"/>
      <c r="C508" s="18" t="s">
        <v>766</v>
      </c>
      <c r="D508" s="16" t="s">
        <v>681</v>
      </c>
      <c r="E508" s="42" t="s">
        <v>19</v>
      </c>
      <c r="F508" s="107">
        <v>1296</v>
      </c>
      <c r="G508" s="107">
        <v>0</v>
      </c>
      <c r="H508" s="107">
        <v>1296</v>
      </c>
      <c r="I508" s="107">
        <v>0</v>
      </c>
      <c r="J508" s="107">
        <v>0</v>
      </c>
      <c r="K508" s="16" t="s">
        <v>156</v>
      </c>
    </row>
    <row r="509" spans="1:11" s="28" customFormat="1" ht="66" x14ac:dyDescent="0.3">
      <c r="A509" s="53">
        <v>456</v>
      </c>
      <c r="B509" s="243"/>
      <c r="C509" s="18" t="s">
        <v>767</v>
      </c>
      <c r="D509" s="16" t="s">
        <v>683</v>
      </c>
      <c r="E509" s="42" t="s">
        <v>19</v>
      </c>
      <c r="F509" s="107">
        <v>566</v>
      </c>
      <c r="G509" s="107">
        <v>0</v>
      </c>
      <c r="H509" s="107">
        <v>566</v>
      </c>
      <c r="I509" s="107">
        <v>0</v>
      </c>
      <c r="J509" s="107">
        <v>0</v>
      </c>
      <c r="K509" s="16" t="s">
        <v>156</v>
      </c>
    </row>
    <row r="510" spans="1:11" s="28" customFormat="1" ht="52.8" x14ac:dyDescent="0.3">
      <c r="A510" s="53">
        <v>457</v>
      </c>
      <c r="B510" s="243"/>
      <c r="C510" s="18" t="s">
        <v>768</v>
      </c>
      <c r="D510" s="16" t="s">
        <v>685</v>
      </c>
      <c r="E510" s="42" t="s">
        <v>19</v>
      </c>
      <c r="F510" s="107">
        <v>11070.3</v>
      </c>
      <c r="G510" s="107">
        <v>0</v>
      </c>
      <c r="H510" s="107">
        <v>11070.3</v>
      </c>
      <c r="I510" s="107">
        <v>0</v>
      </c>
      <c r="J510" s="107">
        <v>0</v>
      </c>
      <c r="K510" s="16" t="s">
        <v>156</v>
      </c>
    </row>
    <row r="511" spans="1:11" s="28" customFormat="1" ht="52.8" x14ac:dyDescent="0.3">
      <c r="A511" s="53">
        <v>458</v>
      </c>
      <c r="B511" s="243"/>
      <c r="C511" s="18" t="s">
        <v>769</v>
      </c>
      <c r="D511" s="16" t="s">
        <v>685</v>
      </c>
      <c r="E511" s="42" t="s">
        <v>19</v>
      </c>
      <c r="F511" s="107">
        <v>19354.580000000002</v>
      </c>
      <c r="G511" s="107">
        <v>0</v>
      </c>
      <c r="H511" s="107">
        <v>19354.580000000002</v>
      </c>
      <c r="I511" s="107">
        <v>0</v>
      </c>
      <c r="J511" s="107">
        <v>0</v>
      </c>
      <c r="K511" s="16" t="s">
        <v>156</v>
      </c>
    </row>
    <row r="512" spans="1:11" s="28" customFormat="1" ht="118.8" x14ac:dyDescent="0.3">
      <c r="A512" s="53">
        <v>459</v>
      </c>
      <c r="B512" s="243"/>
      <c r="C512" s="18" t="s">
        <v>770</v>
      </c>
      <c r="D512" s="20" t="s">
        <v>688</v>
      </c>
      <c r="E512" s="42" t="s">
        <v>19</v>
      </c>
      <c r="F512" s="107">
        <v>3378.1</v>
      </c>
      <c r="G512" s="107">
        <v>0</v>
      </c>
      <c r="H512" s="107">
        <v>0</v>
      </c>
      <c r="I512" s="107">
        <v>3378.1</v>
      </c>
      <c r="J512" s="107">
        <v>0</v>
      </c>
      <c r="K512" s="16" t="s">
        <v>201</v>
      </c>
    </row>
    <row r="513" spans="1:11" s="28" customFormat="1" ht="171.6" x14ac:dyDescent="0.3">
      <c r="A513" s="53">
        <v>460</v>
      </c>
      <c r="B513" s="243"/>
      <c r="C513" s="18" t="s">
        <v>771</v>
      </c>
      <c r="D513" s="20" t="s">
        <v>691</v>
      </c>
      <c r="E513" s="42" t="s">
        <v>19</v>
      </c>
      <c r="F513" s="107">
        <v>8810.44</v>
      </c>
      <c r="G513" s="107">
        <v>0</v>
      </c>
      <c r="H513" s="107">
        <v>0</v>
      </c>
      <c r="I513" s="107">
        <v>8810.44</v>
      </c>
      <c r="J513" s="107">
        <v>0</v>
      </c>
      <c r="K513" s="16" t="s">
        <v>201</v>
      </c>
    </row>
    <row r="514" spans="1:11" s="28" customFormat="1" ht="66" x14ac:dyDescent="0.3">
      <c r="A514" s="53">
        <v>461</v>
      </c>
      <c r="B514" s="243"/>
      <c r="C514" s="18" t="s">
        <v>772</v>
      </c>
      <c r="D514" s="16" t="s">
        <v>694</v>
      </c>
      <c r="E514" s="42" t="s">
        <v>695</v>
      </c>
      <c r="F514" s="107">
        <v>8776.27</v>
      </c>
      <c r="G514" s="107">
        <v>0</v>
      </c>
      <c r="H514" s="107">
        <v>0</v>
      </c>
      <c r="I514" s="107">
        <v>8776.27</v>
      </c>
      <c r="J514" s="107">
        <v>0</v>
      </c>
      <c r="K514" s="16" t="s">
        <v>201</v>
      </c>
    </row>
    <row r="515" spans="1:11" s="28" customFormat="1" ht="171.6" x14ac:dyDescent="0.3">
      <c r="A515" s="53">
        <v>462</v>
      </c>
      <c r="B515" s="243"/>
      <c r="C515" s="18" t="s">
        <v>773</v>
      </c>
      <c r="D515" s="20" t="s">
        <v>774</v>
      </c>
      <c r="E515" s="42" t="s">
        <v>19</v>
      </c>
      <c r="F515" s="107">
        <v>1832.21</v>
      </c>
      <c r="G515" s="107">
        <v>0</v>
      </c>
      <c r="H515" s="107">
        <v>0</v>
      </c>
      <c r="I515" s="107">
        <v>1832.21</v>
      </c>
      <c r="J515" s="107">
        <v>0</v>
      </c>
      <c r="K515" s="16" t="s">
        <v>201</v>
      </c>
    </row>
    <row r="516" spans="1:11" s="28" customFormat="1" ht="39.6" x14ac:dyDescent="0.3">
      <c r="A516" s="53">
        <v>463</v>
      </c>
      <c r="B516" s="243"/>
      <c r="C516" s="18" t="s">
        <v>775</v>
      </c>
      <c r="D516" s="16" t="s">
        <v>700</v>
      </c>
      <c r="E516" s="42" t="s">
        <v>19</v>
      </c>
      <c r="F516" s="107">
        <v>432</v>
      </c>
      <c r="G516" s="107">
        <v>0</v>
      </c>
      <c r="H516" s="107">
        <v>0</v>
      </c>
      <c r="I516" s="107">
        <v>432</v>
      </c>
      <c r="J516" s="107">
        <v>0</v>
      </c>
      <c r="K516" s="16" t="s">
        <v>201</v>
      </c>
    </row>
    <row r="517" spans="1:11" s="28" customFormat="1" ht="92.4" x14ac:dyDescent="0.3">
      <c r="A517" s="53">
        <v>464</v>
      </c>
      <c r="B517" s="243"/>
      <c r="C517" s="18" t="s">
        <v>776</v>
      </c>
      <c r="D517" s="16" t="s">
        <v>702</v>
      </c>
      <c r="E517" s="42" t="s">
        <v>19</v>
      </c>
      <c r="F517" s="107">
        <v>184.8</v>
      </c>
      <c r="G517" s="107">
        <v>0</v>
      </c>
      <c r="H517" s="107">
        <v>0</v>
      </c>
      <c r="I517" s="107">
        <v>184.8</v>
      </c>
      <c r="J517" s="107">
        <v>0</v>
      </c>
      <c r="K517" s="16" t="s">
        <v>201</v>
      </c>
    </row>
    <row r="518" spans="1:11" s="28" customFormat="1" ht="52.8" x14ac:dyDescent="0.3">
      <c r="A518" s="53">
        <v>465</v>
      </c>
      <c r="B518" s="243"/>
      <c r="C518" s="18" t="s">
        <v>777</v>
      </c>
      <c r="D518" s="16" t="s">
        <v>706</v>
      </c>
      <c r="E518" s="42" t="s">
        <v>19</v>
      </c>
      <c r="F518" s="107">
        <v>264.5</v>
      </c>
      <c r="G518" s="107">
        <v>0</v>
      </c>
      <c r="H518" s="107">
        <v>0</v>
      </c>
      <c r="I518" s="107">
        <v>264.5</v>
      </c>
      <c r="J518" s="107">
        <v>0</v>
      </c>
      <c r="K518" s="16" t="s">
        <v>201</v>
      </c>
    </row>
    <row r="519" spans="1:11" s="28" customFormat="1" ht="92.4" x14ac:dyDescent="0.3">
      <c r="A519" s="53">
        <v>466</v>
      </c>
      <c r="B519" s="243"/>
      <c r="C519" s="18" t="s">
        <v>778</v>
      </c>
      <c r="D519" s="16" t="s">
        <v>708</v>
      </c>
      <c r="E519" s="42" t="s">
        <v>19</v>
      </c>
      <c r="F519" s="107">
        <v>304.41000000000003</v>
      </c>
      <c r="G519" s="107">
        <v>0</v>
      </c>
      <c r="H519" s="107">
        <v>0</v>
      </c>
      <c r="I519" s="107">
        <v>304.41000000000003</v>
      </c>
      <c r="J519" s="107">
        <v>0</v>
      </c>
      <c r="K519" s="16" t="s">
        <v>201</v>
      </c>
    </row>
    <row r="520" spans="1:11" s="28" customFormat="1" ht="39.6" x14ac:dyDescent="0.3">
      <c r="A520" s="53">
        <v>467</v>
      </c>
      <c r="B520" s="243"/>
      <c r="C520" s="18" t="s">
        <v>779</v>
      </c>
      <c r="D520" s="16" t="s">
        <v>710</v>
      </c>
      <c r="E520" s="42" t="s">
        <v>19</v>
      </c>
      <c r="F520" s="107">
        <v>580.14</v>
      </c>
      <c r="G520" s="107">
        <v>0</v>
      </c>
      <c r="H520" s="107">
        <v>0</v>
      </c>
      <c r="I520" s="107">
        <v>580.14</v>
      </c>
      <c r="J520" s="107">
        <v>0</v>
      </c>
      <c r="K520" s="16" t="s">
        <v>201</v>
      </c>
    </row>
    <row r="521" spans="1:11" s="28" customFormat="1" ht="52.8" x14ac:dyDescent="0.3">
      <c r="A521" s="53">
        <v>468</v>
      </c>
      <c r="B521" s="243"/>
      <c r="C521" s="18" t="s">
        <v>780</v>
      </c>
      <c r="D521" s="16" t="s">
        <v>712</v>
      </c>
      <c r="E521" s="42" t="s">
        <v>19</v>
      </c>
      <c r="F521" s="107">
        <v>249.95</v>
      </c>
      <c r="G521" s="107">
        <v>0</v>
      </c>
      <c r="H521" s="107">
        <v>249.95</v>
      </c>
      <c r="I521" s="107">
        <v>0</v>
      </c>
      <c r="J521" s="107">
        <v>0</v>
      </c>
      <c r="K521" s="16" t="s">
        <v>156</v>
      </c>
    </row>
    <row r="522" spans="1:11" s="28" customFormat="1" ht="52.8" x14ac:dyDescent="0.3">
      <c r="A522" s="53">
        <v>469</v>
      </c>
      <c r="B522" s="243"/>
      <c r="C522" s="18" t="s">
        <v>781</v>
      </c>
      <c r="D522" s="16" t="s">
        <v>714</v>
      </c>
      <c r="E522" s="42" t="s">
        <v>19</v>
      </c>
      <c r="F522" s="107">
        <v>189.52</v>
      </c>
      <c r="G522" s="107">
        <v>0</v>
      </c>
      <c r="H522" s="107">
        <v>189.52</v>
      </c>
      <c r="I522" s="107">
        <v>0</v>
      </c>
      <c r="J522" s="107">
        <v>0</v>
      </c>
      <c r="K522" s="16" t="s">
        <v>156</v>
      </c>
    </row>
    <row r="523" spans="1:11" s="28" customFormat="1" ht="39.6" x14ac:dyDescent="0.3">
      <c r="A523" s="53">
        <v>470</v>
      </c>
      <c r="B523" s="243"/>
      <c r="C523" s="18" t="s">
        <v>782</v>
      </c>
      <c r="D523" s="16" t="s">
        <v>783</v>
      </c>
      <c r="E523" s="42" t="s">
        <v>19</v>
      </c>
      <c r="F523" s="107">
        <v>302.39999999999998</v>
      </c>
      <c r="G523" s="107">
        <v>0</v>
      </c>
      <c r="H523" s="107">
        <v>0</v>
      </c>
      <c r="I523" s="107">
        <v>302.39999999999998</v>
      </c>
      <c r="J523" s="107">
        <v>0</v>
      </c>
      <c r="K523" s="16" t="s">
        <v>201</v>
      </c>
    </row>
    <row r="524" spans="1:11" s="28" customFormat="1" ht="52.8" x14ac:dyDescent="0.3">
      <c r="A524" s="53">
        <v>471</v>
      </c>
      <c r="B524" s="243"/>
      <c r="C524" s="18" t="s">
        <v>784</v>
      </c>
      <c r="D524" s="16" t="s">
        <v>716</v>
      </c>
      <c r="E524" s="42" t="s">
        <v>19</v>
      </c>
      <c r="F524" s="107">
        <v>282.89999999999998</v>
      </c>
      <c r="G524" s="107">
        <v>0</v>
      </c>
      <c r="H524" s="107">
        <v>0</v>
      </c>
      <c r="I524" s="107">
        <v>282.89999999999998</v>
      </c>
      <c r="J524" s="107">
        <v>0</v>
      </c>
      <c r="K524" s="16" t="s">
        <v>201</v>
      </c>
    </row>
    <row r="525" spans="1:11" s="28" customFormat="1" ht="52.8" x14ac:dyDescent="0.3">
      <c r="A525" s="53">
        <v>472</v>
      </c>
      <c r="B525" s="243"/>
      <c r="C525" s="18" t="s">
        <v>785</v>
      </c>
      <c r="D525" s="16" t="s">
        <v>720</v>
      </c>
      <c r="E525" s="42" t="s">
        <v>19</v>
      </c>
      <c r="F525" s="107">
        <v>2304</v>
      </c>
      <c r="G525" s="107">
        <v>0</v>
      </c>
      <c r="H525" s="107">
        <v>0</v>
      </c>
      <c r="I525" s="107">
        <v>2304</v>
      </c>
      <c r="J525" s="107">
        <v>0</v>
      </c>
      <c r="K525" s="16" t="s">
        <v>201</v>
      </c>
    </row>
    <row r="526" spans="1:11" s="28" customFormat="1" ht="39.6" x14ac:dyDescent="0.3">
      <c r="A526" s="53">
        <v>473</v>
      </c>
      <c r="B526" s="243"/>
      <c r="C526" s="18" t="s">
        <v>786</v>
      </c>
      <c r="D526" s="16" t="s">
        <v>722</v>
      </c>
      <c r="E526" s="42" t="s">
        <v>19</v>
      </c>
      <c r="F526" s="107">
        <v>138.13</v>
      </c>
      <c r="G526" s="107">
        <v>0</v>
      </c>
      <c r="H526" s="107">
        <v>138.13</v>
      </c>
      <c r="I526" s="107">
        <v>0</v>
      </c>
      <c r="J526" s="107">
        <v>0</v>
      </c>
      <c r="K526" s="16" t="s">
        <v>156</v>
      </c>
    </row>
    <row r="527" spans="1:11" s="28" customFormat="1" ht="52.8" x14ac:dyDescent="0.3">
      <c r="A527" s="53">
        <v>474</v>
      </c>
      <c r="B527" s="243"/>
      <c r="C527" s="18" t="s">
        <v>787</v>
      </c>
      <c r="D527" s="16" t="s">
        <v>724</v>
      </c>
      <c r="E527" s="42" t="s">
        <v>19</v>
      </c>
      <c r="F527" s="107">
        <v>133.19999999999999</v>
      </c>
      <c r="G527" s="107">
        <v>0</v>
      </c>
      <c r="H527" s="107">
        <v>0</v>
      </c>
      <c r="I527" s="107">
        <v>133.19999999999999</v>
      </c>
      <c r="J527" s="107">
        <v>0</v>
      </c>
      <c r="K527" s="16" t="s">
        <v>201</v>
      </c>
    </row>
    <row r="528" spans="1:11" s="28" customFormat="1" ht="39.6" x14ac:dyDescent="0.3">
      <c r="A528" s="53">
        <v>475</v>
      </c>
      <c r="B528" s="243"/>
      <c r="C528" s="18" t="s">
        <v>788</v>
      </c>
      <c r="D528" s="16" t="s">
        <v>789</v>
      </c>
      <c r="E528" s="42" t="s">
        <v>19</v>
      </c>
      <c r="F528" s="107">
        <v>149.38</v>
      </c>
      <c r="G528" s="107">
        <v>0</v>
      </c>
      <c r="H528" s="107">
        <v>149.38</v>
      </c>
      <c r="I528" s="107">
        <v>0</v>
      </c>
      <c r="J528" s="107">
        <v>0</v>
      </c>
      <c r="K528" s="16" t="s">
        <v>156</v>
      </c>
    </row>
    <row r="529" spans="1:12" s="28" customFormat="1" ht="26.4" x14ac:dyDescent="0.3">
      <c r="A529" s="53">
        <v>476</v>
      </c>
      <c r="B529" s="244"/>
      <c r="C529" s="18" t="s">
        <v>790</v>
      </c>
      <c r="D529" s="16" t="s">
        <v>726</v>
      </c>
      <c r="E529" s="42" t="s">
        <v>19</v>
      </c>
      <c r="F529" s="107">
        <v>1927.5</v>
      </c>
      <c r="G529" s="107">
        <v>0</v>
      </c>
      <c r="H529" s="107">
        <v>1927.5</v>
      </c>
      <c r="I529" s="107">
        <v>0</v>
      </c>
      <c r="J529" s="107">
        <v>0</v>
      </c>
      <c r="K529" s="16" t="s">
        <v>156</v>
      </c>
    </row>
    <row r="530" spans="1:12" s="32" customFormat="1" ht="31.8" customHeight="1" x14ac:dyDescent="0.3">
      <c r="A530" s="240" t="s">
        <v>818</v>
      </c>
      <c r="B530" s="240"/>
      <c r="C530" s="240"/>
      <c r="D530" s="31"/>
      <c r="E530" s="31"/>
      <c r="F530" s="134">
        <f>SUM(F479:F529)</f>
        <v>135067.50000000006</v>
      </c>
      <c r="G530" s="134">
        <f t="shared" ref="G530:I530" si="55">SUM(G479:G529)</f>
        <v>0</v>
      </c>
      <c r="H530" s="134">
        <f t="shared" si="55"/>
        <v>72492.850000000006</v>
      </c>
      <c r="I530" s="134">
        <f t="shared" si="55"/>
        <v>62574.65</v>
      </c>
      <c r="J530" s="134">
        <f>SUM(J479:J529)</f>
        <v>0</v>
      </c>
      <c r="K530" s="31"/>
      <c r="L530" s="58"/>
    </row>
    <row r="531" spans="1:12" s="28" customFormat="1" ht="26.4" x14ac:dyDescent="0.3">
      <c r="A531" s="13">
        <v>477</v>
      </c>
      <c r="B531" s="242" t="s">
        <v>638</v>
      </c>
      <c r="C531" s="18" t="s">
        <v>791</v>
      </c>
      <c r="D531" s="16" t="s">
        <v>589</v>
      </c>
      <c r="E531" s="13" t="s">
        <v>19</v>
      </c>
      <c r="F531" s="107">
        <v>12694.66</v>
      </c>
      <c r="G531" s="107">
        <v>0</v>
      </c>
      <c r="H531" s="107">
        <v>0</v>
      </c>
      <c r="I531" s="107">
        <v>12694.66</v>
      </c>
      <c r="J531" s="107">
        <v>0</v>
      </c>
      <c r="K531" s="13" t="s">
        <v>315</v>
      </c>
    </row>
    <row r="532" spans="1:12" s="28" customFormat="1" ht="26.4" x14ac:dyDescent="0.3">
      <c r="A532" s="13">
        <v>478</v>
      </c>
      <c r="B532" s="243"/>
      <c r="C532" s="18" t="s">
        <v>792</v>
      </c>
      <c r="D532" s="16" t="s">
        <v>358</v>
      </c>
      <c r="E532" s="13" t="s">
        <v>19</v>
      </c>
      <c r="F532" s="107">
        <v>3782.22</v>
      </c>
      <c r="G532" s="107">
        <v>0</v>
      </c>
      <c r="H532" s="107">
        <v>0</v>
      </c>
      <c r="I532" s="107">
        <v>3782.22</v>
      </c>
      <c r="J532" s="107">
        <v>0</v>
      </c>
      <c r="K532" s="13" t="s">
        <v>315</v>
      </c>
    </row>
    <row r="533" spans="1:12" s="28" customFormat="1" ht="26.4" x14ac:dyDescent="0.3">
      <c r="A533" s="53">
        <v>479</v>
      </c>
      <c r="B533" s="243"/>
      <c r="C533" s="18" t="s">
        <v>793</v>
      </c>
      <c r="D533" s="16" t="s">
        <v>591</v>
      </c>
      <c r="E533" s="13" t="s">
        <v>19</v>
      </c>
      <c r="F533" s="107">
        <v>112.33</v>
      </c>
      <c r="G533" s="107">
        <v>0</v>
      </c>
      <c r="H533" s="107">
        <v>0</v>
      </c>
      <c r="I533" s="107">
        <v>112.33</v>
      </c>
      <c r="J533" s="107">
        <v>0</v>
      </c>
      <c r="K533" s="13" t="s">
        <v>315</v>
      </c>
    </row>
    <row r="534" spans="1:12" s="28" customFormat="1" ht="26.4" x14ac:dyDescent="0.3">
      <c r="A534" s="53">
        <v>480</v>
      </c>
      <c r="B534" s="243"/>
      <c r="C534" s="18" t="s">
        <v>794</v>
      </c>
      <c r="D534" s="16" t="s">
        <v>644</v>
      </c>
      <c r="E534" s="13" t="s">
        <v>19</v>
      </c>
      <c r="F534" s="107">
        <v>10000</v>
      </c>
      <c r="G534" s="107">
        <v>0</v>
      </c>
      <c r="H534" s="107">
        <v>0</v>
      </c>
      <c r="I534" s="107">
        <v>10000</v>
      </c>
      <c r="J534" s="107">
        <v>0</v>
      </c>
      <c r="K534" s="13" t="s">
        <v>315</v>
      </c>
    </row>
    <row r="535" spans="1:12" s="28" customFormat="1" ht="39.6" x14ac:dyDescent="0.3">
      <c r="A535" s="53">
        <v>481</v>
      </c>
      <c r="B535" s="243"/>
      <c r="C535" s="18" t="s">
        <v>795</v>
      </c>
      <c r="D535" s="16" t="s">
        <v>647</v>
      </c>
      <c r="E535" s="13" t="s">
        <v>19</v>
      </c>
      <c r="F535" s="107">
        <v>190.8</v>
      </c>
      <c r="G535" s="107">
        <v>0</v>
      </c>
      <c r="H535" s="107">
        <v>0</v>
      </c>
      <c r="I535" s="107">
        <v>190.8</v>
      </c>
      <c r="J535" s="107">
        <v>0</v>
      </c>
      <c r="K535" s="13" t="s">
        <v>315</v>
      </c>
    </row>
    <row r="536" spans="1:12" s="28" customFormat="1" ht="39.6" x14ac:dyDescent="0.3">
      <c r="A536" s="53">
        <v>482</v>
      </c>
      <c r="B536" s="243"/>
      <c r="C536" s="18" t="s">
        <v>796</v>
      </c>
      <c r="D536" s="16" t="s">
        <v>652</v>
      </c>
      <c r="E536" s="13" t="s">
        <v>19</v>
      </c>
      <c r="F536" s="107">
        <v>1229.25</v>
      </c>
      <c r="G536" s="107">
        <v>0</v>
      </c>
      <c r="H536" s="107">
        <v>0</v>
      </c>
      <c r="I536" s="107">
        <v>1229.25</v>
      </c>
      <c r="J536" s="107">
        <v>0</v>
      </c>
      <c r="K536" s="13" t="s">
        <v>315</v>
      </c>
    </row>
    <row r="537" spans="1:12" s="28" customFormat="1" ht="39.6" x14ac:dyDescent="0.3">
      <c r="A537" s="53">
        <v>483</v>
      </c>
      <c r="B537" s="243"/>
      <c r="C537" s="18" t="s">
        <v>797</v>
      </c>
      <c r="D537" s="16" t="s">
        <v>654</v>
      </c>
      <c r="E537" s="13" t="s">
        <v>19</v>
      </c>
      <c r="F537" s="107">
        <v>5307.22</v>
      </c>
      <c r="G537" s="107">
        <v>0</v>
      </c>
      <c r="H537" s="107">
        <v>0</v>
      </c>
      <c r="I537" s="107">
        <v>5307.22</v>
      </c>
      <c r="J537" s="107">
        <v>0</v>
      </c>
      <c r="K537" s="13" t="s">
        <v>315</v>
      </c>
    </row>
    <row r="538" spans="1:12" s="28" customFormat="1" ht="39.6" x14ac:dyDescent="0.3">
      <c r="A538" s="53">
        <v>484</v>
      </c>
      <c r="B538" s="243"/>
      <c r="C538" s="18" t="s">
        <v>798</v>
      </c>
      <c r="D538" s="16" t="s">
        <v>656</v>
      </c>
      <c r="E538" s="13" t="s">
        <v>19</v>
      </c>
      <c r="F538" s="107">
        <v>1288</v>
      </c>
      <c r="G538" s="107">
        <v>0</v>
      </c>
      <c r="H538" s="107">
        <v>0</v>
      </c>
      <c r="I538" s="107">
        <v>1288</v>
      </c>
      <c r="J538" s="107">
        <v>0</v>
      </c>
      <c r="K538" s="13" t="s">
        <v>315</v>
      </c>
    </row>
    <row r="539" spans="1:12" s="28" customFormat="1" ht="39.6" x14ac:dyDescent="0.3">
      <c r="A539" s="53">
        <v>485</v>
      </c>
      <c r="B539" s="243"/>
      <c r="C539" s="18" t="s">
        <v>799</v>
      </c>
      <c r="D539" s="16" t="s">
        <v>658</v>
      </c>
      <c r="E539" s="13" t="s">
        <v>19</v>
      </c>
      <c r="F539" s="107">
        <v>177.75</v>
      </c>
      <c r="G539" s="107">
        <v>0</v>
      </c>
      <c r="H539" s="107">
        <v>0</v>
      </c>
      <c r="I539" s="107">
        <v>177.75</v>
      </c>
      <c r="J539" s="107">
        <v>0</v>
      </c>
      <c r="K539" s="13" t="s">
        <v>315</v>
      </c>
    </row>
    <row r="540" spans="1:12" s="28" customFormat="1" ht="52.8" x14ac:dyDescent="0.3">
      <c r="A540" s="53">
        <v>486</v>
      </c>
      <c r="B540" s="243"/>
      <c r="C540" s="18" t="s">
        <v>800</v>
      </c>
      <c r="D540" s="16" t="s">
        <v>660</v>
      </c>
      <c r="E540" s="13" t="s">
        <v>19</v>
      </c>
      <c r="F540" s="107">
        <v>241.99</v>
      </c>
      <c r="G540" s="107">
        <v>0</v>
      </c>
      <c r="H540" s="107">
        <v>0</v>
      </c>
      <c r="I540" s="107">
        <v>241.99</v>
      </c>
      <c r="J540" s="107">
        <v>0</v>
      </c>
      <c r="K540" s="13" t="s">
        <v>315</v>
      </c>
    </row>
    <row r="541" spans="1:12" s="28" customFormat="1" ht="39.6" x14ac:dyDescent="0.3">
      <c r="A541" s="53">
        <v>487</v>
      </c>
      <c r="B541" s="243"/>
      <c r="C541" s="18" t="s">
        <v>801</v>
      </c>
      <c r="D541" s="16" t="s">
        <v>662</v>
      </c>
      <c r="E541" s="13" t="s">
        <v>19</v>
      </c>
      <c r="F541" s="107">
        <v>608.96</v>
      </c>
      <c r="G541" s="107">
        <v>0</v>
      </c>
      <c r="H541" s="107">
        <v>0</v>
      </c>
      <c r="I541" s="107">
        <v>608.96</v>
      </c>
      <c r="J541" s="107">
        <v>0</v>
      </c>
      <c r="K541" s="13" t="s">
        <v>315</v>
      </c>
    </row>
    <row r="542" spans="1:12" s="28" customFormat="1" ht="39.6" x14ac:dyDescent="0.3">
      <c r="A542" s="53">
        <v>488</v>
      </c>
      <c r="B542" s="243"/>
      <c r="C542" s="18" t="s">
        <v>802</v>
      </c>
      <c r="D542" s="16" t="s">
        <v>664</v>
      </c>
      <c r="E542" s="13" t="s">
        <v>19</v>
      </c>
      <c r="F542" s="107">
        <v>89.25</v>
      </c>
      <c r="G542" s="107">
        <v>0</v>
      </c>
      <c r="H542" s="107">
        <v>0</v>
      </c>
      <c r="I542" s="107">
        <v>89.25</v>
      </c>
      <c r="J542" s="107">
        <v>0</v>
      </c>
      <c r="K542" s="13" t="s">
        <v>315</v>
      </c>
    </row>
    <row r="543" spans="1:12" s="28" customFormat="1" ht="52.8" x14ac:dyDescent="0.3">
      <c r="A543" s="53">
        <v>489</v>
      </c>
      <c r="B543" s="243"/>
      <c r="C543" s="18" t="s">
        <v>803</v>
      </c>
      <c r="D543" s="16" t="s">
        <v>667</v>
      </c>
      <c r="E543" s="13" t="s">
        <v>19</v>
      </c>
      <c r="F543" s="107">
        <v>269.67</v>
      </c>
      <c r="G543" s="107">
        <v>0</v>
      </c>
      <c r="H543" s="107">
        <v>0</v>
      </c>
      <c r="I543" s="107">
        <v>269.67</v>
      </c>
      <c r="J543" s="107">
        <v>0</v>
      </c>
      <c r="K543" s="13" t="s">
        <v>315</v>
      </c>
    </row>
    <row r="544" spans="1:12" s="28" customFormat="1" ht="66" x14ac:dyDescent="0.3">
      <c r="A544" s="53">
        <v>490</v>
      </c>
      <c r="B544" s="243"/>
      <c r="C544" s="18" t="s">
        <v>804</v>
      </c>
      <c r="D544" s="16" t="s">
        <v>669</v>
      </c>
      <c r="E544" s="13" t="s">
        <v>19</v>
      </c>
      <c r="F544" s="107">
        <v>118.33</v>
      </c>
      <c r="G544" s="107">
        <v>0</v>
      </c>
      <c r="H544" s="107">
        <v>0</v>
      </c>
      <c r="I544" s="107">
        <v>118.33</v>
      </c>
      <c r="J544" s="107">
        <v>0</v>
      </c>
      <c r="K544" s="13" t="s">
        <v>315</v>
      </c>
    </row>
    <row r="545" spans="1:11" s="28" customFormat="1" ht="92.4" x14ac:dyDescent="0.3">
      <c r="A545" s="53">
        <v>491</v>
      </c>
      <c r="B545" s="243"/>
      <c r="C545" s="18" t="s">
        <v>805</v>
      </c>
      <c r="D545" s="16" t="s">
        <v>671</v>
      </c>
      <c r="E545" s="13" t="s">
        <v>19</v>
      </c>
      <c r="F545" s="107">
        <v>781.28</v>
      </c>
      <c r="G545" s="107">
        <v>0</v>
      </c>
      <c r="H545" s="107">
        <v>0</v>
      </c>
      <c r="I545" s="107">
        <v>781.28</v>
      </c>
      <c r="J545" s="107">
        <v>0</v>
      </c>
      <c r="K545" s="13" t="s">
        <v>315</v>
      </c>
    </row>
    <row r="546" spans="1:11" s="28" customFormat="1" ht="52.8" x14ac:dyDescent="0.3">
      <c r="A546" s="53">
        <v>492</v>
      </c>
      <c r="B546" s="243"/>
      <c r="C546" s="18" t="s">
        <v>806</v>
      </c>
      <c r="D546" s="16" t="s">
        <v>673</v>
      </c>
      <c r="E546" s="13" t="s">
        <v>19</v>
      </c>
      <c r="F546" s="107">
        <v>201.12</v>
      </c>
      <c r="G546" s="107">
        <v>0</v>
      </c>
      <c r="H546" s="107">
        <v>0</v>
      </c>
      <c r="I546" s="107">
        <v>201.12</v>
      </c>
      <c r="J546" s="107">
        <v>0</v>
      </c>
      <c r="K546" s="13" t="s">
        <v>315</v>
      </c>
    </row>
    <row r="547" spans="1:11" s="28" customFormat="1" ht="52.8" x14ac:dyDescent="0.3">
      <c r="A547" s="53">
        <v>493</v>
      </c>
      <c r="B547" s="243"/>
      <c r="C547" s="18" t="s">
        <v>807</v>
      </c>
      <c r="D547" s="16" t="s">
        <v>675</v>
      </c>
      <c r="E547" s="13" t="s">
        <v>19</v>
      </c>
      <c r="F547" s="107">
        <v>457.08</v>
      </c>
      <c r="G547" s="107">
        <v>0</v>
      </c>
      <c r="H547" s="107">
        <v>0</v>
      </c>
      <c r="I547" s="107">
        <v>457.08</v>
      </c>
      <c r="J547" s="107">
        <v>0</v>
      </c>
      <c r="K547" s="13" t="s">
        <v>315</v>
      </c>
    </row>
    <row r="548" spans="1:11" s="28" customFormat="1" ht="66" x14ac:dyDescent="0.3">
      <c r="A548" s="53">
        <v>494</v>
      </c>
      <c r="B548" s="243"/>
      <c r="C548" s="18" t="s">
        <v>808</v>
      </c>
      <c r="D548" s="16" t="s">
        <v>681</v>
      </c>
      <c r="E548" s="13" t="s">
        <v>19</v>
      </c>
      <c r="F548" s="107">
        <v>1296</v>
      </c>
      <c r="G548" s="107">
        <v>0</v>
      </c>
      <c r="H548" s="107">
        <v>0</v>
      </c>
      <c r="I548" s="107">
        <v>1296</v>
      </c>
      <c r="J548" s="107">
        <v>0</v>
      </c>
      <c r="K548" s="13" t="s">
        <v>315</v>
      </c>
    </row>
    <row r="549" spans="1:11" s="28" customFormat="1" ht="66" x14ac:dyDescent="0.3">
      <c r="A549" s="53">
        <v>495</v>
      </c>
      <c r="B549" s="243"/>
      <c r="C549" s="18" t="s">
        <v>809</v>
      </c>
      <c r="D549" s="16" t="s">
        <v>683</v>
      </c>
      <c r="E549" s="13" t="s">
        <v>19</v>
      </c>
      <c r="F549" s="107">
        <v>566</v>
      </c>
      <c r="G549" s="107">
        <v>0</v>
      </c>
      <c r="H549" s="107">
        <v>0</v>
      </c>
      <c r="I549" s="107">
        <v>566</v>
      </c>
      <c r="J549" s="107">
        <v>0</v>
      </c>
      <c r="K549" s="13" t="s">
        <v>315</v>
      </c>
    </row>
    <row r="550" spans="1:11" s="28" customFormat="1" ht="52.8" x14ac:dyDescent="0.3">
      <c r="A550" s="53">
        <v>496</v>
      </c>
      <c r="B550" s="243"/>
      <c r="C550" s="18" t="s">
        <v>810</v>
      </c>
      <c r="D550" s="16" t="s">
        <v>685</v>
      </c>
      <c r="E550" s="13" t="s">
        <v>19</v>
      </c>
      <c r="F550" s="107">
        <v>11070.3</v>
      </c>
      <c r="G550" s="107">
        <v>0</v>
      </c>
      <c r="H550" s="107">
        <v>0</v>
      </c>
      <c r="I550" s="107">
        <v>11070.3</v>
      </c>
      <c r="J550" s="107">
        <v>0</v>
      </c>
      <c r="K550" s="13" t="s">
        <v>315</v>
      </c>
    </row>
    <row r="551" spans="1:11" s="28" customFormat="1" ht="52.8" x14ac:dyDescent="0.3">
      <c r="A551" s="53">
        <v>497</v>
      </c>
      <c r="B551" s="243"/>
      <c r="C551" s="18" t="s">
        <v>811</v>
      </c>
      <c r="D551" s="16" t="s">
        <v>685</v>
      </c>
      <c r="E551" s="13" t="s">
        <v>19</v>
      </c>
      <c r="F551" s="107">
        <v>19354.580000000002</v>
      </c>
      <c r="G551" s="107">
        <v>0</v>
      </c>
      <c r="H551" s="107">
        <v>0</v>
      </c>
      <c r="I551" s="107">
        <v>19354.580000000002</v>
      </c>
      <c r="J551" s="107">
        <v>0</v>
      </c>
      <c r="K551" s="13" t="s">
        <v>315</v>
      </c>
    </row>
    <row r="552" spans="1:11" s="28" customFormat="1" ht="52.8" x14ac:dyDescent="0.3">
      <c r="A552" s="53">
        <v>498</v>
      </c>
      <c r="B552" s="243"/>
      <c r="C552" s="18" t="s">
        <v>812</v>
      </c>
      <c r="D552" s="16" t="s">
        <v>712</v>
      </c>
      <c r="E552" s="13" t="s">
        <v>19</v>
      </c>
      <c r="F552" s="107">
        <v>249.95</v>
      </c>
      <c r="G552" s="107">
        <v>0</v>
      </c>
      <c r="H552" s="107">
        <v>0</v>
      </c>
      <c r="I552" s="107">
        <v>249.95</v>
      </c>
      <c r="J552" s="107">
        <v>0</v>
      </c>
      <c r="K552" s="13" t="s">
        <v>315</v>
      </c>
    </row>
    <row r="553" spans="1:11" s="28" customFormat="1" ht="52.8" x14ac:dyDescent="0.3">
      <c r="A553" s="53">
        <v>499</v>
      </c>
      <c r="B553" s="243"/>
      <c r="C553" s="18" t="s">
        <v>813</v>
      </c>
      <c r="D553" s="16" t="s">
        <v>714</v>
      </c>
      <c r="E553" s="13" t="s">
        <v>19</v>
      </c>
      <c r="F553" s="107">
        <v>189.52</v>
      </c>
      <c r="G553" s="107">
        <v>0</v>
      </c>
      <c r="H553" s="107">
        <v>0</v>
      </c>
      <c r="I553" s="107">
        <v>189.52</v>
      </c>
      <c r="J553" s="107">
        <v>0</v>
      </c>
      <c r="K553" s="13" t="s">
        <v>315</v>
      </c>
    </row>
    <row r="554" spans="1:11" s="28" customFormat="1" ht="39.6" x14ac:dyDescent="0.3">
      <c r="A554" s="53">
        <v>500</v>
      </c>
      <c r="B554" s="243"/>
      <c r="C554" s="18" t="s">
        <v>814</v>
      </c>
      <c r="D554" s="16" t="s">
        <v>722</v>
      </c>
      <c r="E554" s="13" t="s">
        <v>19</v>
      </c>
      <c r="F554" s="107">
        <v>138.13</v>
      </c>
      <c r="G554" s="107">
        <v>0</v>
      </c>
      <c r="H554" s="107">
        <v>0</v>
      </c>
      <c r="I554" s="107">
        <v>138.13</v>
      </c>
      <c r="J554" s="107">
        <v>0</v>
      </c>
      <c r="K554" s="13" t="s">
        <v>315</v>
      </c>
    </row>
    <row r="555" spans="1:11" s="28" customFormat="1" ht="39.6" x14ac:dyDescent="0.3">
      <c r="A555" s="53">
        <v>501</v>
      </c>
      <c r="B555" s="243"/>
      <c r="C555" s="18" t="s">
        <v>815</v>
      </c>
      <c r="D555" s="16" t="s">
        <v>789</v>
      </c>
      <c r="E555" s="13" t="s">
        <v>19</v>
      </c>
      <c r="F555" s="107">
        <v>149.38</v>
      </c>
      <c r="G555" s="107">
        <v>0</v>
      </c>
      <c r="H555" s="107">
        <v>0</v>
      </c>
      <c r="I555" s="107">
        <v>149.38</v>
      </c>
      <c r="J555" s="107">
        <v>0</v>
      </c>
      <c r="K555" s="13" t="s">
        <v>315</v>
      </c>
    </row>
    <row r="556" spans="1:11" s="28" customFormat="1" ht="26.4" x14ac:dyDescent="0.3">
      <c r="A556" s="53">
        <v>502</v>
      </c>
      <c r="B556" s="244"/>
      <c r="C556" s="18" t="s">
        <v>816</v>
      </c>
      <c r="D556" s="16" t="s">
        <v>726</v>
      </c>
      <c r="E556" s="13" t="s">
        <v>19</v>
      </c>
      <c r="F556" s="107">
        <v>1927.5</v>
      </c>
      <c r="G556" s="107">
        <v>0</v>
      </c>
      <c r="H556" s="107">
        <v>0</v>
      </c>
      <c r="I556" s="107">
        <v>1927.5</v>
      </c>
      <c r="J556" s="107">
        <v>0</v>
      </c>
      <c r="K556" s="13" t="s">
        <v>315</v>
      </c>
    </row>
    <row r="557" spans="1:11" s="32" customFormat="1" ht="31.8" customHeight="1" x14ac:dyDescent="0.3">
      <c r="A557" s="240" t="s">
        <v>819</v>
      </c>
      <c r="B557" s="240"/>
      <c r="C557" s="240"/>
      <c r="D557" s="31"/>
      <c r="E557" s="31"/>
      <c r="F557" s="134">
        <f>SUM(F531:F556)</f>
        <v>72491.270000000019</v>
      </c>
      <c r="G557" s="134">
        <f>SUM(G531:G556)</f>
        <v>0</v>
      </c>
      <c r="H557" s="134">
        <f>SUM(H531:H556)</f>
        <v>0</v>
      </c>
      <c r="I557" s="134">
        <f>SUM(I531:I556)</f>
        <v>72491.270000000019</v>
      </c>
      <c r="J557" s="134">
        <f>SUM(J531:J556)</f>
        <v>0</v>
      </c>
      <c r="K557" s="31"/>
    </row>
    <row r="558" spans="1:11" s="28" customFormat="1" ht="24" customHeight="1" x14ac:dyDescent="0.3">
      <c r="A558" s="13">
        <v>503</v>
      </c>
      <c r="B558" s="256" t="s">
        <v>820</v>
      </c>
      <c r="C558" s="1" t="s">
        <v>1558</v>
      </c>
      <c r="D558" s="1" t="s">
        <v>137</v>
      </c>
      <c r="E558" s="1" t="s">
        <v>19</v>
      </c>
      <c r="F558" s="193">
        <f>G558+H558+I558</f>
        <v>3285</v>
      </c>
      <c r="G558" s="193">
        <v>819</v>
      </c>
      <c r="H558" s="193">
        <v>2466</v>
      </c>
      <c r="I558" s="193">
        <v>0</v>
      </c>
      <c r="J558" s="193">
        <v>0</v>
      </c>
      <c r="K558" s="16" t="s">
        <v>143</v>
      </c>
    </row>
    <row r="559" spans="1:11" s="28" customFormat="1" ht="33.6" customHeight="1" x14ac:dyDescent="0.3">
      <c r="A559" s="13">
        <v>504</v>
      </c>
      <c r="B559" s="257"/>
      <c r="C559" s="1" t="s">
        <v>1559</v>
      </c>
      <c r="D559" s="1" t="s">
        <v>137</v>
      </c>
      <c r="E559" s="1" t="s">
        <v>19</v>
      </c>
      <c r="F559" s="201">
        <v>61.32</v>
      </c>
      <c r="G559" s="193">
        <v>0</v>
      </c>
      <c r="H559" s="193">
        <v>56.11</v>
      </c>
      <c r="I559" s="193">
        <v>5.2080000000000002</v>
      </c>
      <c r="J559" s="193">
        <v>0</v>
      </c>
      <c r="K559" s="16" t="s">
        <v>215</v>
      </c>
    </row>
    <row r="560" spans="1:11" s="28" customFormat="1" ht="72" customHeight="1" x14ac:dyDescent="0.3">
      <c r="A560" s="53">
        <v>505</v>
      </c>
      <c r="B560" s="257"/>
      <c r="C560" s="1" t="s">
        <v>1560</v>
      </c>
      <c r="D560" s="1" t="s">
        <v>379</v>
      </c>
      <c r="E560" s="1" t="s">
        <v>19</v>
      </c>
      <c r="F560" s="193">
        <v>204</v>
      </c>
      <c r="G560" s="193">
        <v>0</v>
      </c>
      <c r="H560" s="193">
        <v>204</v>
      </c>
      <c r="I560" s="193">
        <v>0</v>
      </c>
      <c r="J560" s="193">
        <v>0</v>
      </c>
      <c r="K560" s="16" t="s">
        <v>215</v>
      </c>
    </row>
    <row r="561" spans="1:12" s="28" customFormat="1" ht="37.200000000000003" customHeight="1" x14ac:dyDescent="0.3">
      <c r="A561" s="53">
        <v>506</v>
      </c>
      <c r="B561" s="257"/>
      <c r="C561" s="1" t="s">
        <v>1561</v>
      </c>
      <c r="D561" s="1" t="s">
        <v>171</v>
      </c>
      <c r="E561" s="1" t="s">
        <v>19</v>
      </c>
      <c r="F561" s="193">
        <f>H561+I561</f>
        <v>685.59</v>
      </c>
      <c r="G561" s="193">
        <v>0</v>
      </c>
      <c r="H561" s="193">
        <v>636.39</v>
      </c>
      <c r="I561" s="193">
        <v>49.2</v>
      </c>
      <c r="J561" s="193">
        <v>0</v>
      </c>
      <c r="K561" s="16" t="s">
        <v>215</v>
      </c>
    </row>
    <row r="562" spans="1:12" s="28" customFormat="1" ht="25.8" customHeight="1" x14ac:dyDescent="0.3">
      <c r="A562" s="53">
        <v>507</v>
      </c>
      <c r="B562" s="257"/>
      <c r="C562" s="1" t="s">
        <v>1562</v>
      </c>
      <c r="D562" s="1" t="s">
        <v>165</v>
      </c>
      <c r="E562" s="1" t="s">
        <v>19</v>
      </c>
      <c r="F562" s="193">
        <f>H562+I562</f>
        <v>1754.739</v>
      </c>
      <c r="G562" s="193">
        <v>0</v>
      </c>
      <c r="H562" s="193">
        <v>1607.97</v>
      </c>
      <c r="I562" s="193">
        <v>146.76900000000001</v>
      </c>
      <c r="J562" s="193">
        <v>0</v>
      </c>
      <c r="K562" s="16" t="s">
        <v>215</v>
      </c>
    </row>
    <row r="563" spans="1:12" s="28" customFormat="1" ht="37.799999999999997" customHeight="1" x14ac:dyDescent="0.3">
      <c r="A563" s="53">
        <v>508</v>
      </c>
      <c r="B563" s="257"/>
      <c r="C563" s="1" t="s">
        <v>1563</v>
      </c>
      <c r="D563" s="1" t="s">
        <v>821</v>
      </c>
      <c r="E563" s="1" t="s">
        <v>19</v>
      </c>
      <c r="F563" s="193">
        <f>H563+I563</f>
        <v>122.4</v>
      </c>
      <c r="G563" s="193">
        <v>0</v>
      </c>
      <c r="H563" s="193">
        <v>112.2</v>
      </c>
      <c r="I563" s="193">
        <v>10.199999999999999</v>
      </c>
      <c r="J563" s="193">
        <v>0</v>
      </c>
      <c r="K563" s="16" t="s">
        <v>215</v>
      </c>
    </row>
    <row r="564" spans="1:12" s="28" customFormat="1" ht="30.6" customHeight="1" x14ac:dyDescent="0.3">
      <c r="A564" s="53">
        <v>509</v>
      </c>
      <c r="B564" s="257"/>
      <c r="C564" s="1" t="s">
        <v>1564</v>
      </c>
      <c r="D564" s="1" t="s">
        <v>822</v>
      </c>
      <c r="E564" s="1" t="s">
        <v>19</v>
      </c>
      <c r="F564" s="193">
        <f>H564+I564</f>
        <v>690.06200000000001</v>
      </c>
      <c r="G564" s="193">
        <v>0</v>
      </c>
      <c r="H564" s="193">
        <v>690.06200000000001</v>
      </c>
      <c r="I564" s="193">
        <v>0</v>
      </c>
      <c r="J564" s="193">
        <v>0</v>
      </c>
      <c r="K564" s="16" t="s">
        <v>215</v>
      </c>
    </row>
    <row r="565" spans="1:12" s="28" customFormat="1" ht="39" customHeight="1" x14ac:dyDescent="0.3">
      <c r="A565" s="53">
        <v>510</v>
      </c>
      <c r="B565" s="257"/>
      <c r="C565" s="1" t="s">
        <v>1565</v>
      </c>
      <c r="D565" s="1" t="s">
        <v>823</v>
      </c>
      <c r="E565" s="1" t="s">
        <v>19</v>
      </c>
      <c r="F565" s="193">
        <v>196.375</v>
      </c>
      <c r="G565" s="193">
        <v>196.375</v>
      </c>
      <c r="H565" s="193">
        <v>0</v>
      </c>
      <c r="I565" s="193">
        <v>0</v>
      </c>
      <c r="J565" s="193">
        <v>0</v>
      </c>
      <c r="K565" s="16" t="s">
        <v>143</v>
      </c>
    </row>
    <row r="566" spans="1:12" s="28" customFormat="1" ht="34.200000000000003" customHeight="1" x14ac:dyDescent="0.3">
      <c r="A566" s="53">
        <v>511</v>
      </c>
      <c r="B566" s="257"/>
      <c r="C566" s="1" t="s">
        <v>1566</v>
      </c>
      <c r="D566" s="1" t="s">
        <v>182</v>
      </c>
      <c r="E566" s="1" t="s">
        <v>19</v>
      </c>
      <c r="F566" s="193">
        <v>395.6</v>
      </c>
      <c r="G566" s="193">
        <v>395.6</v>
      </c>
      <c r="H566" s="193">
        <v>0</v>
      </c>
      <c r="I566" s="193">
        <v>0</v>
      </c>
      <c r="J566" s="193">
        <v>0</v>
      </c>
      <c r="K566" s="16" t="s">
        <v>143</v>
      </c>
    </row>
    <row r="567" spans="1:12" s="28" customFormat="1" ht="30" customHeight="1" x14ac:dyDescent="0.3">
      <c r="A567" s="53">
        <v>512</v>
      </c>
      <c r="B567" s="257"/>
      <c r="C567" s="1" t="s">
        <v>1567</v>
      </c>
      <c r="D567" s="1" t="s">
        <v>824</v>
      </c>
      <c r="E567" s="1" t="s">
        <v>19</v>
      </c>
      <c r="F567" s="193">
        <v>209.512</v>
      </c>
      <c r="G567" s="193">
        <v>209.512</v>
      </c>
      <c r="H567" s="193">
        <v>0</v>
      </c>
      <c r="I567" s="193">
        <v>0</v>
      </c>
      <c r="J567" s="193">
        <v>0</v>
      </c>
      <c r="K567" s="16" t="s">
        <v>185</v>
      </c>
    </row>
    <row r="568" spans="1:12" s="28" customFormat="1" ht="33.6" customHeight="1" x14ac:dyDescent="0.3">
      <c r="A568" s="53">
        <v>513</v>
      </c>
      <c r="B568" s="257"/>
      <c r="C568" s="1" t="s">
        <v>1568</v>
      </c>
      <c r="D568" s="1" t="s">
        <v>825</v>
      </c>
      <c r="E568" s="1" t="s">
        <v>19</v>
      </c>
      <c r="F568" s="193">
        <v>242.071</v>
      </c>
      <c r="G568" s="193">
        <v>242.071</v>
      </c>
      <c r="H568" s="193">
        <v>0</v>
      </c>
      <c r="I568" s="193">
        <v>0</v>
      </c>
      <c r="J568" s="193">
        <v>0</v>
      </c>
      <c r="K568" s="16" t="s">
        <v>215</v>
      </c>
    </row>
    <row r="569" spans="1:12" s="28" customFormat="1" ht="38.4" customHeight="1" x14ac:dyDescent="0.3">
      <c r="A569" s="53">
        <v>514</v>
      </c>
      <c r="B569" s="257"/>
      <c r="C569" s="14" t="s">
        <v>1569</v>
      </c>
      <c r="D569" s="14" t="s">
        <v>826</v>
      </c>
      <c r="E569" s="14" t="s">
        <v>18</v>
      </c>
      <c r="F569" s="193">
        <v>494.36599999999999</v>
      </c>
      <c r="G569" s="193">
        <v>494.36599999999999</v>
      </c>
      <c r="H569" s="193">
        <v>0</v>
      </c>
      <c r="I569" s="193">
        <v>0</v>
      </c>
      <c r="J569" s="193">
        <v>0</v>
      </c>
      <c r="K569" s="16" t="s">
        <v>143</v>
      </c>
    </row>
    <row r="570" spans="1:12" s="28" customFormat="1" ht="34.200000000000003" customHeight="1" x14ac:dyDescent="0.3">
      <c r="A570" s="53">
        <v>515</v>
      </c>
      <c r="B570" s="258"/>
      <c r="C570" s="14" t="s">
        <v>1570</v>
      </c>
      <c r="D570" s="14" t="s">
        <v>827</v>
      </c>
      <c r="E570" s="14" t="s">
        <v>19</v>
      </c>
      <c r="F570" s="193">
        <v>2490.4110000000001</v>
      </c>
      <c r="G570" s="193">
        <v>2490.41</v>
      </c>
      <c r="H570" s="193">
        <v>0</v>
      </c>
      <c r="I570" s="193">
        <v>0</v>
      </c>
      <c r="J570" s="193">
        <v>0</v>
      </c>
      <c r="K570" s="16" t="s">
        <v>143</v>
      </c>
    </row>
    <row r="571" spans="1:12" s="32" customFormat="1" ht="27.6" customHeight="1" x14ac:dyDescent="0.3">
      <c r="A571" s="250" t="s">
        <v>829</v>
      </c>
      <c r="B571" s="251"/>
      <c r="C571" s="252"/>
      <c r="D571" s="34"/>
      <c r="E571" s="34"/>
      <c r="F571" s="134">
        <f>SUM(F558:F570)</f>
        <v>10831.446</v>
      </c>
      <c r="G571" s="134">
        <f t="shared" ref="G571:I571" si="56">SUM(G558:G570)</f>
        <v>4847.3339999999998</v>
      </c>
      <c r="H571" s="134">
        <f t="shared" si="56"/>
        <v>5772.732</v>
      </c>
      <c r="I571" s="134">
        <f t="shared" si="56"/>
        <v>211.37700000000001</v>
      </c>
      <c r="J571" s="134">
        <f t="shared" ref="J571" si="57">SUM(J558:J570)</f>
        <v>0</v>
      </c>
      <c r="K571" s="31"/>
      <c r="L571" s="58"/>
    </row>
    <row r="572" spans="1:12" s="28" customFormat="1" ht="36.75" customHeight="1" x14ac:dyDescent="0.3">
      <c r="A572" s="13">
        <v>516</v>
      </c>
      <c r="B572" s="256" t="s">
        <v>820</v>
      </c>
      <c r="C572" s="1" t="s">
        <v>1571</v>
      </c>
      <c r="D572" s="1" t="s">
        <v>137</v>
      </c>
      <c r="E572" s="1" t="s">
        <v>19</v>
      </c>
      <c r="F572" s="193">
        <f>H572+I572</f>
        <v>3285</v>
      </c>
      <c r="G572" s="193">
        <v>0</v>
      </c>
      <c r="H572" s="193">
        <v>819</v>
      </c>
      <c r="I572" s="193">
        <v>2466</v>
      </c>
      <c r="J572" s="193">
        <v>0</v>
      </c>
      <c r="K572" s="16" t="s">
        <v>156</v>
      </c>
    </row>
    <row r="573" spans="1:12" s="28" customFormat="1" ht="28.2" customHeight="1" x14ac:dyDescent="0.3">
      <c r="A573" s="13">
        <v>517</v>
      </c>
      <c r="B573" s="257"/>
      <c r="C573" s="1" t="s">
        <v>1572</v>
      </c>
      <c r="D573" s="1" t="s">
        <v>137</v>
      </c>
      <c r="E573" s="1" t="s">
        <v>19</v>
      </c>
      <c r="F573" s="193">
        <v>47.112000000000002</v>
      </c>
      <c r="G573" s="193">
        <v>0</v>
      </c>
      <c r="H573" s="193">
        <v>0</v>
      </c>
      <c r="I573" s="193">
        <v>47.112000000000002</v>
      </c>
      <c r="J573" s="193">
        <v>0</v>
      </c>
      <c r="K573" s="16" t="s">
        <v>233</v>
      </c>
    </row>
    <row r="574" spans="1:12" s="28" customFormat="1" ht="71.400000000000006" customHeight="1" x14ac:dyDescent="0.3">
      <c r="A574" s="53">
        <v>518</v>
      </c>
      <c r="B574" s="257"/>
      <c r="C574" s="1" t="s">
        <v>1573</v>
      </c>
      <c r="D574" s="1" t="s">
        <v>379</v>
      </c>
      <c r="E574" s="1" t="s">
        <v>19</v>
      </c>
      <c r="F574" s="193">
        <v>204</v>
      </c>
      <c r="G574" s="193">
        <v>0</v>
      </c>
      <c r="H574" s="193">
        <v>0</v>
      </c>
      <c r="I574" s="193">
        <v>204</v>
      </c>
      <c r="J574" s="193">
        <v>0</v>
      </c>
      <c r="K574" s="16" t="s">
        <v>233</v>
      </c>
    </row>
    <row r="575" spans="1:12" s="28" customFormat="1" ht="33.6" customHeight="1" x14ac:dyDescent="0.3">
      <c r="A575" s="53">
        <v>519</v>
      </c>
      <c r="B575" s="257"/>
      <c r="C575" s="1" t="s">
        <v>1574</v>
      </c>
      <c r="D575" s="42" t="s">
        <v>171</v>
      </c>
      <c r="E575" s="42" t="s">
        <v>19</v>
      </c>
      <c r="F575" s="193">
        <v>708.61900000000003</v>
      </c>
      <c r="G575" s="193">
        <v>0</v>
      </c>
      <c r="H575" s="193">
        <v>0</v>
      </c>
      <c r="I575" s="193">
        <v>708.61900000000003</v>
      </c>
      <c r="J575" s="193">
        <v>0</v>
      </c>
      <c r="K575" s="13" t="s">
        <v>233</v>
      </c>
    </row>
    <row r="576" spans="1:12" s="28" customFormat="1" ht="26.4" x14ac:dyDescent="0.3">
      <c r="A576" s="53">
        <v>520</v>
      </c>
      <c r="B576" s="257"/>
      <c r="C576" s="1" t="s">
        <v>1575</v>
      </c>
      <c r="D576" s="42" t="s">
        <v>165</v>
      </c>
      <c r="E576" s="42" t="s">
        <v>19</v>
      </c>
      <c r="F576" s="193">
        <v>1614.145</v>
      </c>
      <c r="G576" s="193">
        <v>0</v>
      </c>
      <c r="H576" s="193">
        <v>0</v>
      </c>
      <c r="I576" s="193">
        <v>1614.15</v>
      </c>
      <c r="J576" s="193">
        <v>0</v>
      </c>
      <c r="K576" s="13" t="s">
        <v>233</v>
      </c>
    </row>
    <row r="577" spans="1:12" s="28" customFormat="1" ht="32.4" customHeight="1" x14ac:dyDescent="0.3">
      <c r="A577" s="53">
        <v>521</v>
      </c>
      <c r="B577" s="257"/>
      <c r="C577" s="1" t="s">
        <v>1576</v>
      </c>
      <c r="D577" s="13" t="s">
        <v>821</v>
      </c>
      <c r="E577" s="13" t="s">
        <v>19</v>
      </c>
      <c r="F577" s="193">
        <v>112.2</v>
      </c>
      <c r="G577" s="193">
        <v>0</v>
      </c>
      <c r="H577" s="193">
        <v>0</v>
      </c>
      <c r="I577" s="193">
        <v>112.2</v>
      </c>
      <c r="J577" s="193">
        <v>0</v>
      </c>
      <c r="K577" s="16" t="s">
        <v>233</v>
      </c>
    </row>
    <row r="578" spans="1:12" s="28" customFormat="1" ht="30" customHeight="1" x14ac:dyDescent="0.3">
      <c r="A578" s="53">
        <v>522</v>
      </c>
      <c r="B578" s="257"/>
      <c r="C578" s="1" t="s">
        <v>1577</v>
      </c>
      <c r="D578" s="13" t="s">
        <v>822</v>
      </c>
      <c r="E578" s="13" t="s">
        <v>19</v>
      </c>
      <c r="F578" s="193">
        <v>755.78200000000004</v>
      </c>
      <c r="G578" s="193">
        <v>0</v>
      </c>
      <c r="H578" s="193">
        <v>0</v>
      </c>
      <c r="I578" s="193">
        <v>755.78200000000004</v>
      </c>
      <c r="J578" s="193">
        <v>0</v>
      </c>
      <c r="K578" s="16" t="s">
        <v>233</v>
      </c>
    </row>
    <row r="579" spans="1:12" s="28" customFormat="1" ht="32.4" customHeight="1" x14ac:dyDescent="0.3">
      <c r="A579" s="53">
        <v>523</v>
      </c>
      <c r="B579" s="257"/>
      <c r="C579" s="1" t="s">
        <v>1578</v>
      </c>
      <c r="D579" s="13" t="s">
        <v>823</v>
      </c>
      <c r="E579" s="13" t="s">
        <v>19</v>
      </c>
      <c r="F579" s="193">
        <v>196.375</v>
      </c>
      <c r="G579" s="193">
        <v>0</v>
      </c>
      <c r="H579" s="193">
        <v>196.375</v>
      </c>
      <c r="I579" s="193">
        <v>0</v>
      </c>
      <c r="J579" s="193">
        <v>0</v>
      </c>
      <c r="K579" s="16" t="s">
        <v>156</v>
      </c>
    </row>
    <row r="580" spans="1:12" s="28" customFormat="1" ht="31.2" customHeight="1" x14ac:dyDescent="0.3">
      <c r="A580" s="53">
        <v>524</v>
      </c>
      <c r="B580" s="257"/>
      <c r="C580" s="1" t="s">
        <v>1579</v>
      </c>
      <c r="D580" s="13" t="s">
        <v>824</v>
      </c>
      <c r="E580" s="13" t="s">
        <v>19</v>
      </c>
      <c r="F580" s="193">
        <v>209.512</v>
      </c>
      <c r="G580" s="193">
        <v>0</v>
      </c>
      <c r="H580" s="193">
        <v>209.512</v>
      </c>
      <c r="I580" s="193">
        <v>0</v>
      </c>
      <c r="J580" s="193">
        <v>0</v>
      </c>
      <c r="K580" s="16" t="s">
        <v>196</v>
      </c>
    </row>
    <row r="581" spans="1:12" s="28" customFormat="1" ht="35.4" customHeight="1" x14ac:dyDescent="0.3">
      <c r="A581" s="53">
        <v>525</v>
      </c>
      <c r="B581" s="258"/>
      <c r="C581" s="1" t="s">
        <v>1580</v>
      </c>
      <c r="D581" s="13" t="s">
        <v>825</v>
      </c>
      <c r="E581" s="13" t="s">
        <v>19</v>
      </c>
      <c r="F581" s="193">
        <v>1036.308</v>
      </c>
      <c r="G581" s="193">
        <v>0</v>
      </c>
      <c r="H581" s="193">
        <v>1036.308</v>
      </c>
      <c r="I581" s="193">
        <v>0</v>
      </c>
      <c r="J581" s="193">
        <v>0</v>
      </c>
      <c r="K581" s="16" t="s">
        <v>233</v>
      </c>
    </row>
    <row r="582" spans="1:12" s="32" customFormat="1" ht="36" customHeight="1" x14ac:dyDescent="0.3">
      <c r="A582" s="240" t="s">
        <v>830</v>
      </c>
      <c r="B582" s="240"/>
      <c r="C582" s="240"/>
      <c r="D582" s="31"/>
      <c r="E582" s="31"/>
      <c r="F582" s="134">
        <f>SUM(F572:F581)</f>
        <v>8169.0529999999999</v>
      </c>
      <c r="G582" s="134">
        <f t="shared" ref="G582:I582" si="58">SUM(G572:G581)</f>
        <v>0</v>
      </c>
      <c r="H582" s="134">
        <f t="shared" si="58"/>
        <v>2261.1949999999997</v>
      </c>
      <c r="I582" s="134">
        <f t="shared" si="58"/>
        <v>5907.8630000000003</v>
      </c>
      <c r="J582" s="134">
        <f t="shared" ref="J582" si="59">SUM(J572:J581)</f>
        <v>0</v>
      </c>
      <c r="K582" s="31"/>
      <c r="L582" s="58"/>
    </row>
    <row r="583" spans="1:12" s="28" customFormat="1" ht="24.6" customHeight="1" x14ac:dyDescent="0.3">
      <c r="A583" s="13">
        <v>526</v>
      </c>
      <c r="B583" s="256" t="s">
        <v>820</v>
      </c>
      <c r="C583" s="1" t="s">
        <v>1581</v>
      </c>
      <c r="D583" s="1" t="s">
        <v>137</v>
      </c>
      <c r="E583" s="1" t="s">
        <v>19</v>
      </c>
      <c r="F583" s="193">
        <v>828</v>
      </c>
      <c r="G583" s="193">
        <v>0</v>
      </c>
      <c r="H583" s="193">
        <v>0</v>
      </c>
      <c r="I583" s="193">
        <v>828</v>
      </c>
      <c r="J583" s="193">
        <v>0</v>
      </c>
      <c r="K583" s="16" t="s">
        <v>315</v>
      </c>
    </row>
    <row r="584" spans="1:12" s="28" customFormat="1" ht="30.6" customHeight="1" x14ac:dyDescent="0.3">
      <c r="A584" s="13">
        <v>527</v>
      </c>
      <c r="B584" s="257"/>
      <c r="C584" s="1" t="s">
        <v>1582</v>
      </c>
      <c r="D584" s="1" t="s">
        <v>823</v>
      </c>
      <c r="E584" s="1" t="s">
        <v>19</v>
      </c>
      <c r="F584" s="193">
        <v>196.375</v>
      </c>
      <c r="G584" s="193">
        <v>0</v>
      </c>
      <c r="H584" s="193">
        <v>0</v>
      </c>
      <c r="I584" s="193">
        <v>196.375</v>
      </c>
      <c r="J584" s="193">
        <v>0</v>
      </c>
      <c r="K584" s="16" t="s">
        <v>315</v>
      </c>
    </row>
    <row r="585" spans="1:12" s="28" customFormat="1" ht="33.6" customHeight="1" x14ac:dyDescent="0.3">
      <c r="A585" s="13">
        <v>528</v>
      </c>
      <c r="B585" s="257"/>
      <c r="C585" s="1" t="s">
        <v>1583</v>
      </c>
      <c r="D585" s="1" t="s">
        <v>824</v>
      </c>
      <c r="E585" s="1" t="s">
        <v>19</v>
      </c>
      <c r="F585" s="193">
        <v>209.512</v>
      </c>
      <c r="G585" s="193">
        <v>0</v>
      </c>
      <c r="H585" s="193">
        <v>0</v>
      </c>
      <c r="I585" s="193">
        <v>209.512</v>
      </c>
      <c r="J585" s="193">
        <v>0</v>
      </c>
      <c r="K585" s="16" t="s">
        <v>207</v>
      </c>
    </row>
    <row r="586" spans="1:12" s="28" customFormat="1" ht="38.4" customHeight="1" x14ac:dyDescent="0.3">
      <c r="A586" s="13">
        <v>529</v>
      </c>
      <c r="B586" s="258"/>
      <c r="C586" s="1" t="s">
        <v>1584</v>
      </c>
      <c r="D586" s="1" t="s">
        <v>825</v>
      </c>
      <c r="E586" s="1" t="s">
        <v>19</v>
      </c>
      <c r="F586" s="193">
        <v>1355.172</v>
      </c>
      <c r="G586" s="193">
        <v>0</v>
      </c>
      <c r="H586" s="193">
        <v>0</v>
      </c>
      <c r="I586" s="193">
        <v>1355.172</v>
      </c>
      <c r="J586" s="193">
        <v>0</v>
      </c>
      <c r="K586" s="16" t="s">
        <v>828</v>
      </c>
    </row>
    <row r="587" spans="1:12" s="32" customFormat="1" ht="29.4" customHeight="1" x14ac:dyDescent="0.3">
      <c r="A587" s="240" t="s">
        <v>831</v>
      </c>
      <c r="B587" s="240"/>
      <c r="C587" s="240"/>
      <c r="D587" s="31"/>
      <c r="E587" s="31"/>
      <c r="F587" s="134">
        <f>SUM(F583:F586)</f>
        <v>2589.0590000000002</v>
      </c>
      <c r="G587" s="134">
        <f t="shared" ref="G587:I587" si="60">SUM(G583:G586)</f>
        <v>0</v>
      </c>
      <c r="H587" s="134">
        <f t="shared" si="60"/>
        <v>0</v>
      </c>
      <c r="I587" s="134">
        <f t="shared" si="60"/>
        <v>2589.0590000000002</v>
      </c>
      <c r="J587" s="134">
        <f>SUM(J583:J585)</f>
        <v>0</v>
      </c>
      <c r="K587" s="31"/>
    </row>
    <row r="588" spans="1:12" s="28" customFormat="1" ht="30.6" customHeight="1" x14ac:dyDescent="0.3">
      <c r="A588" s="13">
        <v>530</v>
      </c>
      <c r="B588" s="242" t="s">
        <v>832</v>
      </c>
      <c r="C588" s="1" t="s">
        <v>1585</v>
      </c>
      <c r="D588" s="1" t="s">
        <v>833</v>
      </c>
      <c r="E588" s="1" t="s">
        <v>18</v>
      </c>
      <c r="F588" s="193">
        <v>344.92</v>
      </c>
      <c r="G588" s="193">
        <v>344.92</v>
      </c>
      <c r="H588" s="101">
        <v>0</v>
      </c>
      <c r="I588" s="101">
        <v>0</v>
      </c>
      <c r="J588" s="101">
        <v>0</v>
      </c>
      <c r="K588" s="16" t="s">
        <v>143</v>
      </c>
    </row>
    <row r="589" spans="1:12" s="28" customFormat="1" ht="40.799999999999997" customHeight="1" x14ac:dyDescent="0.3">
      <c r="A589" s="13">
        <v>531</v>
      </c>
      <c r="B589" s="243"/>
      <c r="C589" s="1" t="s">
        <v>1586</v>
      </c>
      <c r="D589" s="1" t="s">
        <v>834</v>
      </c>
      <c r="E589" s="1" t="s">
        <v>19</v>
      </c>
      <c r="F589" s="193">
        <f t="shared" ref="F589:F601" si="61">G589+H589+I589</f>
        <v>308.11246</v>
      </c>
      <c r="G589" s="193">
        <f>84187.76/1000</f>
        <v>84.187759999999997</v>
      </c>
      <c r="H589" s="101">
        <f>134459.05/1000</f>
        <v>134.45904999999999</v>
      </c>
      <c r="I589" s="101">
        <f>89465.65/1000</f>
        <v>89.465649999999997</v>
      </c>
      <c r="J589" s="101">
        <v>0</v>
      </c>
      <c r="K589" s="16" t="s">
        <v>143</v>
      </c>
    </row>
    <row r="590" spans="1:12" s="28" customFormat="1" ht="43.2" customHeight="1" x14ac:dyDescent="0.3">
      <c r="A590" s="53">
        <v>532</v>
      </c>
      <c r="B590" s="243"/>
      <c r="C590" s="1" t="s">
        <v>1587</v>
      </c>
      <c r="D590" s="1" t="s">
        <v>835</v>
      </c>
      <c r="E590" s="1" t="s">
        <v>19</v>
      </c>
      <c r="F590" s="193">
        <f t="shared" si="61"/>
        <v>624.83058000000005</v>
      </c>
      <c r="G590" s="193">
        <f>120581.34/1000</f>
        <v>120.58134</v>
      </c>
      <c r="H590" s="101">
        <f>336166.16/1000</f>
        <v>336.16615999999999</v>
      </c>
      <c r="I590" s="101">
        <f>168083.08/1000</f>
        <v>168.08308</v>
      </c>
      <c r="J590" s="101">
        <v>0</v>
      </c>
      <c r="K590" s="16" t="s">
        <v>143</v>
      </c>
    </row>
    <row r="591" spans="1:12" s="28" customFormat="1" ht="66" customHeight="1" x14ac:dyDescent="0.3">
      <c r="A591" s="53">
        <v>533</v>
      </c>
      <c r="B591" s="243"/>
      <c r="C591" s="1" t="s">
        <v>1588</v>
      </c>
      <c r="D591" s="1" t="s">
        <v>836</v>
      </c>
      <c r="E591" s="1" t="s">
        <v>18</v>
      </c>
      <c r="F591" s="193">
        <f t="shared" si="61"/>
        <v>1373.8616200000001</v>
      </c>
      <c r="G591" s="193">
        <f>385000/1000</f>
        <v>385</v>
      </c>
      <c r="H591" s="101">
        <f>606644.5/1000</f>
        <v>606.64449999999999</v>
      </c>
      <c r="I591" s="101">
        <f>382217.12/1000</f>
        <v>382.21712000000002</v>
      </c>
      <c r="J591" s="101">
        <v>0</v>
      </c>
      <c r="K591" s="16" t="s">
        <v>143</v>
      </c>
    </row>
    <row r="592" spans="1:12" s="28" customFormat="1" ht="33.6" customHeight="1" x14ac:dyDescent="0.3">
      <c r="A592" s="53">
        <v>534</v>
      </c>
      <c r="B592" s="243"/>
      <c r="C592" s="1" t="s">
        <v>1589</v>
      </c>
      <c r="D592" s="1" t="s">
        <v>837</v>
      </c>
      <c r="E592" s="1" t="s">
        <v>19</v>
      </c>
      <c r="F592" s="193">
        <f t="shared" si="61"/>
        <v>119.08</v>
      </c>
      <c r="G592" s="193">
        <f>$F$15</f>
        <v>119.08</v>
      </c>
      <c r="H592" s="101">
        <v>0</v>
      </c>
      <c r="I592" s="101">
        <v>0</v>
      </c>
      <c r="J592" s="101">
        <v>0</v>
      </c>
      <c r="K592" s="16" t="s">
        <v>143</v>
      </c>
    </row>
    <row r="593" spans="1:12" s="28" customFormat="1" ht="31.8" customHeight="1" x14ac:dyDescent="0.3">
      <c r="A593" s="53">
        <v>535</v>
      </c>
      <c r="B593" s="243"/>
      <c r="C593" s="1" t="s">
        <v>1590</v>
      </c>
      <c r="D593" s="1" t="s">
        <v>838</v>
      </c>
      <c r="E593" s="1" t="s">
        <v>695</v>
      </c>
      <c r="F593" s="193">
        <f t="shared" si="61"/>
        <v>3100</v>
      </c>
      <c r="G593" s="193">
        <v>3100</v>
      </c>
      <c r="H593" s="101">
        <v>0</v>
      </c>
      <c r="I593" s="101">
        <v>0</v>
      </c>
      <c r="J593" s="101">
        <v>0</v>
      </c>
      <c r="K593" s="16" t="s">
        <v>143</v>
      </c>
    </row>
    <row r="594" spans="1:12" s="28" customFormat="1" ht="35.25" customHeight="1" x14ac:dyDescent="0.3">
      <c r="A594" s="53">
        <v>536</v>
      </c>
      <c r="B594" s="243"/>
      <c r="C594" s="1" t="s">
        <v>1591</v>
      </c>
      <c r="D594" s="1" t="s">
        <v>839</v>
      </c>
      <c r="E594" s="1" t="s">
        <v>18</v>
      </c>
      <c r="F594" s="193">
        <f t="shared" si="61"/>
        <v>5166.9745899999998</v>
      </c>
      <c r="G594" s="193">
        <f>906105.04
/1000</f>
        <v>906.10504000000003</v>
      </c>
      <c r="H594" s="101">
        <f>3248116.83/1000</f>
        <v>3248.1168299999999</v>
      </c>
      <c r="I594" s="101">
        <f>1012752.72/1000</f>
        <v>1012.75272</v>
      </c>
      <c r="J594" s="101">
        <v>0</v>
      </c>
      <c r="K594" s="16" t="s">
        <v>185</v>
      </c>
    </row>
    <row r="595" spans="1:12" s="28" customFormat="1" ht="31.8" customHeight="1" x14ac:dyDescent="0.3">
      <c r="A595" s="53">
        <v>537</v>
      </c>
      <c r="B595" s="243"/>
      <c r="C595" s="1" t="s">
        <v>1592</v>
      </c>
      <c r="D595" s="1" t="s">
        <v>840</v>
      </c>
      <c r="E595" s="1" t="s">
        <v>19</v>
      </c>
      <c r="F595" s="193">
        <f t="shared" si="61"/>
        <v>664.42000000000007</v>
      </c>
      <c r="G595" s="193">
        <f>111200/1000</f>
        <v>111.2</v>
      </c>
      <c r="H595" s="101">
        <f>419780/1000</f>
        <v>419.78</v>
      </c>
      <c r="I595" s="101">
        <f>133440/1000</f>
        <v>133.44</v>
      </c>
      <c r="J595" s="101">
        <v>0</v>
      </c>
      <c r="K595" s="16" t="s">
        <v>185</v>
      </c>
    </row>
    <row r="596" spans="1:12" s="28" customFormat="1" ht="29.4" customHeight="1" x14ac:dyDescent="0.3">
      <c r="A596" s="53">
        <v>538</v>
      </c>
      <c r="B596" s="243"/>
      <c r="C596" s="1" t="s">
        <v>1593</v>
      </c>
      <c r="D596" s="1" t="s">
        <v>841</v>
      </c>
      <c r="E596" s="1" t="s">
        <v>19</v>
      </c>
      <c r="F596" s="193">
        <f t="shared" si="61"/>
        <v>1833.3093800000001</v>
      </c>
      <c r="G596" s="193">
        <f>355199.99/1000</f>
        <v>355.19999000000001</v>
      </c>
      <c r="H596" s="101">
        <f>985406.26/1000</f>
        <v>985.40625999999997</v>
      </c>
      <c r="I596" s="101">
        <f>492703.13/1000</f>
        <v>492.70312999999999</v>
      </c>
      <c r="J596" s="101">
        <v>0</v>
      </c>
      <c r="K596" s="16" t="s">
        <v>185</v>
      </c>
    </row>
    <row r="597" spans="1:12" s="28" customFormat="1" ht="31.8" customHeight="1" x14ac:dyDescent="0.3">
      <c r="A597" s="53">
        <v>539</v>
      </c>
      <c r="B597" s="243"/>
      <c r="C597" s="1" t="s">
        <v>1594</v>
      </c>
      <c r="D597" s="1" t="s">
        <v>842</v>
      </c>
      <c r="E597" s="1" t="s">
        <v>19</v>
      </c>
      <c r="F597" s="193">
        <f t="shared" si="61"/>
        <v>340.92</v>
      </c>
      <c r="G597" s="193">
        <v>340.92</v>
      </c>
      <c r="H597" s="101">
        <v>0</v>
      </c>
      <c r="I597" s="101">
        <v>0</v>
      </c>
      <c r="J597" s="101">
        <v>0</v>
      </c>
      <c r="K597" s="16" t="s">
        <v>185</v>
      </c>
    </row>
    <row r="598" spans="1:12" s="28" customFormat="1" ht="27" customHeight="1" x14ac:dyDescent="0.3">
      <c r="A598" s="53">
        <v>540</v>
      </c>
      <c r="B598" s="243"/>
      <c r="C598" s="1" t="s">
        <v>1595</v>
      </c>
      <c r="D598" s="1" t="s">
        <v>843</v>
      </c>
      <c r="E598" s="1" t="s">
        <v>18</v>
      </c>
      <c r="F598" s="193">
        <f t="shared" si="61"/>
        <v>2946.9606599999997</v>
      </c>
      <c r="G598" s="193">
        <v>0</v>
      </c>
      <c r="H598" s="101">
        <f>1964640.44/1000</f>
        <v>1964.6404399999999</v>
      </c>
      <c r="I598" s="101">
        <f>982320.22/1000</f>
        <v>982.32021999999995</v>
      </c>
      <c r="J598" s="101">
        <v>0</v>
      </c>
      <c r="K598" s="16" t="s">
        <v>139</v>
      </c>
    </row>
    <row r="599" spans="1:12" s="28" customFormat="1" ht="40.5" customHeight="1" x14ac:dyDescent="0.3">
      <c r="A599" s="53">
        <v>541</v>
      </c>
      <c r="B599" s="243"/>
      <c r="C599" s="1" t="s">
        <v>1596</v>
      </c>
      <c r="D599" s="1" t="s">
        <v>844</v>
      </c>
      <c r="E599" s="1" t="s">
        <v>19</v>
      </c>
      <c r="F599" s="193">
        <f t="shared" si="61"/>
        <v>2458.4135200000001</v>
      </c>
      <c r="G599" s="193">
        <v>0</v>
      </c>
      <c r="H599" s="101">
        <f>1229206.76/1000</f>
        <v>1229.20676</v>
      </c>
      <c r="I599" s="101">
        <f>1229206.76/1000</f>
        <v>1229.20676</v>
      </c>
      <c r="J599" s="101">
        <v>0</v>
      </c>
      <c r="K599" s="16" t="s">
        <v>139</v>
      </c>
    </row>
    <row r="600" spans="1:12" s="28" customFormat="1" ht="40.5" customHeight="1" x14ac:dyDescent="0.3">
      <c r="A600" s="53">
        <v>542</v>
      </c>
      <c r="B600" s="243"/>
      <c r="C600" s="1" t="s">
        <v>1597</v>
      </c>
      <c r="D600" s="1" t="s">
        <v>845</v>
      </c>
      <c r="E600" s="1" t="s">
        <v>19</v>
      </c>
      <c r="F600" s="193">
        <f t="shared" si="61"/>
        <v>446.9436</v>
      </c>
      <c r="G600" s="193">
        <f>52581.6/1000</f>
        <v>52.581600000000002</v>
      </c>
      <c r="H600" s="101">
        <f>262908/1000</f>
        <v>262.90800000000002</v>
      </c>
      <c r="I600" s="101">
        <f>131454/1000</f>
        <v>131.45400000000001</v>
      </c>
      <c r="J600" s="101">
        <v>0</v>
      </c>
      <c r="K600" s="16" t="s">
        <v>190</v>
      </c>
    </row>
    <row r="601" spans="1:12" s="28" customFormat="1" ht="37.799999999999997" customHeight="1" x14ac:dyDescent="0.3">
      <c r="A601" s="53">
        <v>543</v>
      </c>
      <c r="B601" s="244"/>
      <c r="C601" s="1" t="s">
        <v>1598</v>
      </c>
      <c r="D601" s="1" t="s">
        <v>846</v>
      </c>
      <c r="E601" s="1" t="s">
        <v>19</v>
      </c>
      <c r="F601" s="193">
        <f t="shared" si="61"/>
        <v>701.85050999999999</v>
      </c>
      <c r="G601" s="193">
        <v>0</v>
      </c>
      <c r="H601" s="101">
        <f>455550.33/1000</f>
        <v>455.55033000000003</v>
      </c>
      <c r="I601" s="101">
        <f>246300.18/1000</f>
        <v>246.30017999999998</v>
      </c>
      <c r="J601" s="101">
        <v>0</v>
      </c>
      <c r="K601" s="16" t="s">
        <v>847</v>
      </c>
    </row>
    <row r="602" spans="1:12" s="32" customFormat="1" ht="33.6" customHeight="1" x14ac:dyDescent="0.3">
      <c r="A602" s="250" t="s">
        <v>864</v>
      </c>
      <c r="B602" s="251"/>
      <c r="C602" s="252"/>
      <c r="D602" s="34"/>
      <c r="E602" s="34"/>
      <c r="F602" s="134">
        <f>SUM(F588:F601)</f>
        <v>20430.59692</v>
      </c>
      <c r="G602" s="134">
        <f t="shared" ref="G602:I602" si="62">SUM(G588:G601)</f>
        <v>5919.7757300000003</v>
      </c>
      <c r="H602" s="134">
        <f t="shared" si="62"/>
        <v>9642.8783299999977</v>
      </c>
      <c r="I602" s="134">
        <f t="shared" si="62"/>
        <v>4867.9428600000001</v>
      </c>
      <c r="J602" s="101">
        <v>0</v>
      </c>
      <c r="K602" s="31"/>
      <c r="L602" s="58"/>
    </row>
    <row r="603" spans="1:12" s="28" customFormat="1" ht="26.4" x14ac:dyDescent="0.3">
      <c r="A603" s="13">
        <v>544</v>
      </c>
      <c r="B603" s="242" t="s">
        <v>832</v>
      </c>
      <c r="C603" s="16" t="s">
        <v>1599</v>
      </c>
      <c r="D603" s="42" t="s">
        <v>833</v>
      </c>
      <c r="E603" s="42" t="s">
        <v>18</v>
      </c>
      <c r="F603" s="109">
        <v>62.53</v>
      </c>
      <c r="G603" s="109">
        <v>0</v>
      </c>
      <c r="H603" s="101">
        <v>62.53</v>
      </c>
      <c r="I603" s="101">
        <v>0</v>
      </c>
      <c r="J603" s="101">
        <v>0</v>
      </c>
      <c r="K603" s="13" t="s">
        <v>156</v>
      </c>
    </row>
    <row r="604" spans="1:12" s="28" customFormat="1" ht="26.4" x14ac:dyDescent="0.3">
      <c r="A604" s="13">
        <v>545</v>
      </c>
      <c r="B604" s="243"/>
      <c r="C604" s="16" t="s">
        <v>1600</v>
      </c>
      <c r="D604" s="42" t="s">
        <v>848</v>
      </c>
      <c r="E604" s="42" t="s">
        <v>19</v>
      </c>
      <c r="F604" s="193">
        <f>H604</f>
        <v>1685</v>
      </c>
      <c r="G604" s="109">
        <v>0</v>
      </c>
      <c r="H604" s="101">
        <v>1685</v>
      </c>
      <c r="I604" s="101">
        <v>0</v>
      </c>
      <c r="J604" s="101">
        <v>0</v>
      </c>
      <c r="K604" s="13" t="s">
        <v>156</v>
      </c>
    </row>
    <row r="605" spans="1:12" s="28" customFormat="1" ht="39.6" x14ac:dyDescent="0.3">
      <c r="A605" s="53">
        <v>546</v>
      </c>
      <c r="B605" s="243"/>
      <c r="C605" s="16" t="s">
        <v>1601</v>
      </c>
      <c r="D605" s="42" t="s">
        <v>849</v>
      </c>
      <c r="E605" s="42" t="s">
        <v>695</v>
      </c>
      <c r="F605" s="109">
        <v>3100</v>
      </c>
      <c r="G605" s="109">
        <v>0</v>
      </c>
      <c r="H605" s="101">
        <v>3100</v>
      </c>
      <c r="I605" s="101">
        <v>0</v>
      </c>
      <c r="J605" s="101">
        <v>0</v>
      </c>
      <c r="K605" s="13" t="s">
        <v>156</v>
      </c>
    </row>
    <row r="606" spans="1:12" s="28" customFormat="1" ht="26.4" x14ac:dyDescent="0.3">
      <c r="A606" s="53">
        <v>547</v>
      </c>
      <c r="B606" s="244"/>
      <c r="C606" s="16" t="s">
        <v>1602</v>
      </c>
      <c r="D606" s="42" t="s">
        <v>850</v>
      </c>
      <c r="E606" s="42" t="s">
        <v>19</v>
      </c>
      <c r="F606" s="109">
        <v>340.92</v>
      </c>
      <c r="G606" s="109">
        <v>0</v>
      </c>
      <c r="H606" s="101">
        <v>340.92</v>
      </c>
      <c r="I606" s="101">
        <v>0</v>
      </c>
      <c r="J606" s="101">
        <v>0</v>
      </c>
      <c r="K606" s="13" t="s">
        <v>196</v>
      </c>
    </row>
    <row r="607" spans="1:12" s="32" customFormat="1" ht="31.2" customHeight="1" x14ac:dyDescent="0.3">
      <c r="A607" s="240" t="s">
        <v>865</v>
      </c>
      <c r="B607" s="240"/>
      <c r="C607" s="240"/>
      <c r="D607" s="31"/>
      <c r="E607" s="31"/>
      <c r="F607" s="134">
        <f>SUM(F603:F606)</f>
        <v>5188.45</v>
      </c>
      <c r="G607" s="134">
        <f>SUM(G603:G606)</f>
        <v>0</v>
      </c>
      <c r="H607" s="134">
        <f>SUM(H603:H606)</f>
        <v>5188.45</v>
      </c>
      <c r="I607" s="134">
        <f>SUM(I603:I606)</f>
        <v>0</v>
      </c>
      <c r="J607" s="134"/>
      <c r="K607" s="31"/>
    </row>
    <row r="608" spans="1:12" s="28" customFormat="1" ht="27" customHeight="1" x14ac:dyDescent="0.3">
      <c r="A608" s="13">
        <v>548</v>
      </c>
      <c r="B608" s="242" t="s">
        <v>832</v>
      </c>
      <c r="C608" s="16" t="s">
        <v>1603</v>
      </c>
      <c r="D608" s="13" t="s">
        <v>833</v>
      </c>
      <c r="E608" s="13" t="s">
        <v>18</v>
      </c>
      <c r="F608" s="109">
        <v>62.53</v>
      </c>
      <c r="G608" s="109">
        <v>0</v>
      </c>
      <c r="H608" s="101">
        <v>0</v>
      </c>
      <c r="I608" s="101">
        <v>62.53</v>
      </c>
      <c r="J608" s="101">
        <v>0</v>
      </c>
      <c r="K608" s="13" t="s">
        <v>315</v>
      </c>
    </row>
    <row r="609" spans="1:11" s="28" customFormat="1" ht="26.4" x14ac:dyDescent="0.3">
      <c r="A609" s="13">
        <v>549</v>
      </c>
      <c r="B609" s="243"/>
      <c r="C609" s="16" t="s">
        <v>1604</v>
      </c>
      <c r="D609" s="13" t="s">
        <v>851</v>
      </c>
      <c r="E609" s="13" t="s">
        <v>19</v>
      </c>
      <c r="F609" s="193">
        <f>SUM(G609:I609)</f>
        <v>44.993400000000001</v>
      </c>
      <c r="G609" s="109">
        <v>0</v>
      </c>
      <c r="H609" s="101">
        <v>0</v>
      </c>
      <c r="I609" s="101">
        <f>44993.4
/1000</f>
        <v>44.993400000000001</v>
      </c>
      <c r="J609" s="101">
        <v>0</v>
      </c>
      <c r="K609" s="13" t="s">
        <v>852</v>
      </c>
    </row>
    <row r="610" spans="1:11" s="28" customFormat="1" ht="39.6" x14ac:dyDescent="0.3">
      <c r="A610" s="53">
        <v>550</v>
      </c>
      <c r="B610" s="243"/>
      <c r="C610" s="16" t="s">
        <v>1605</v>
      </c>
      <c r="D610" s="13" t="s">
        <v>853</v>
      </c>
      <c r="E610" s="13" t="s">
        <v>19</v>
      </c>
      <c r="F610" s="109">
        <f>SUM(G610:I610)</f>
        <v>168.08308</v>
      </c>
      <c r="G610" s="109">
        <v>0</v>
      </c>
      <c r="H610" s="101">
        <v>0</v>
      </c>
      <c r="I610" s="101">
        <f>168083.08/1000</f>
        <v>168.08308</v>
      </c>
      <c r="J610" s="101">
        <v>0</v>
      </c>
      <c r="K610" s="13" t="s">
        <v>852</v>
      </c>
    </row>
    <row r="611" spans="1:11" s="28" customFormat="1" ht="66" x14ac:dyDescent="0.3">
      <c r="A611" s="53">
        <v>551</v>
      </c>
      <c r="B611" s="243"/>
      <c r="C611" s="16" t="s">
        <v>1606</v>
      </c>
      <c r="D611" s="13" t="s">
        <v>854</v>
      </c>
      <c r="E611" s="13" t="s">
        <v>18</v>
      </c>
      <c r="F611" s="109">
        <f>SUM(G611:I611)</f>
        <v>382.21712000000002</v>
      </c>
      <c r="G611" s="109">
        <v>0</v>
      </c>
      <c r="H611" s="101">
        <v>0</v>
      </c>
      <c r="I611" s="101">
        <f>382217.12/1000</f>
        <v>382.21712000000002</v>
      </c>
      <c r="J611" s="101">
        <v>0</v>
      </c>
      <c r="K611" s="13" t="s">
        <v>852</v>
      </c>
    </row>
    <row r="612" spans="1:11" s="28" customFormat="1" ht="26.4" x14ac:dyDescent="0.3">
      <c r="A612" s="53">
        <v>552</v>
      </c>
      <c r="B612" s="243"/>
      <c r="C612" s="16" t="s">
        <v>1607</v>
      </c>
      <c r="D612" s="13" t="s">
        <v>855</v>
      </c>
      <c r="E612" s="13" t="s">
        <v>19</v>
      </c>
      <c r="F612" s="193">
        <f>I612</f>
        <v>1685</v>
      </c>
      <c r="G612" s="109">
        <v>0</v>
      </c>
      <c r="H612" s="101">
        <v>0</v>
      </c>
      <c r="I612" s="101">
        <v>1685</v>
      </c>
      <c r="J612" s="101">
        <v>0</v>
      </c>
      <c r="K612" s="13" t="s">
        <v>315</v>
      </c>
    </row>
    <row r="613" spans="1:11" s="28" customFormat="1" ht="39.6" x14ac:dyDescent="0.3">
      <c r="A613" s="53">
        <v>553</v>
      </c>
      <c r="B613" s="243"/>
      <c r="C613" s="16" t="s">
        <v>1608</v>
      </c>
      <c r="D613" s="13" t="s">
        <v>856</v>
      </c>
      <c r="E613" s="13" t="s">
        <v>695</v>
      </c>
      <c r="F613" s="109">
        <v>3100</v>
      </c>
      <c r="G613" s="109">
        <v>0</v>
      </c>
      <c r="H613" s="101">
        <v>0</v>
      </c>
      <c r="I613" s="109">
        <v>3100</v>
      </c>
      <c r="J613" s="101">
        <v>0</v>
      </c>
      <c r="K613" s="13" t="s">
        <v>315</v>
      </c>
    </row>
    <row r="614" spans="1:11" s="28" customFormat="1" ht="28.8" customHeight="1" x14ac:dyDescent="0.3">
      <c r="A614" s="53">
        <v>554</v>
      </c>
      <c r="B614" s="243"/>
      <c r="C614" s="16" t="s">
        <v>1609</v>
      </c>
      <c r="D614" s="13" t="s">
        <v>857</v>
      </c>
      <c r="E614" s="13" t="s">
        <v>18</v>
      </c>
      <c r="F614" s="109">
        <f>SUM(G614:I614)</f>
        <v>2235.36411</v>
      </c>
      <c r="G614" s="109">
        <v>0</v>
      </c>
      <c r="H614" s="101">
        <v>0</v>
      </c>
      <c r="I614" s="101">
        <f>2235364.11
/1000</f>
        <v>2235.36411</v>
      </c>
      <c r="J614" s="101">
        <v>0</v>
      </c>
      <c r="K614" s="13" t="s">
        <v>852</v>
      </c>
    </row>
    <row r="615" spans="1:11" s="28" customFormat="1" ht="26.4" x14ac:dyDescent="0.3">
      <c r="A615" s="53">
        <v>555</v>
      </c>
      <c r="B615" s="243"/>
      <c r="C615" s="16" t="s">
        <v>1610</v>
      </c>
      <c r="D615" s="13" t="s">
        <v>858</v>
      </c>
      <c r="E615" s="13" t="s">
        <v>19</v>
      </c>
      <c r="F615" s="109">
        <f>SUM(G615:I615)</f>
        <v>286.33999999999997</v>
      </c>
      <c r="G615" s="109">
        <v>0</v>
      </c>
      <c r="H615" s="101">
        <v>0</v>
      </c>
      <c r="I615" s="101">
        <f>286340/1000</f>
        <v>286.33999999999997</v>
      </c>
      <c r="J615" s="101">
        <v>0</v>
      </c>
      <c r="K615" s="13" t="s">
        <v>852</v>
      </c>
    </row>
    <row r="616" spans="1:11" s="28" customFormat="1" ht="26.4" x14ac:dyDescent="0.3">
      <c r="A616" s="53">
        <v>556</v>
      </c>
      <c r="B616" s="243"/>
      <c r="C616" s="16" t="s">
        <v>1611</v>
      </c>
      <c r="D616" s="13" t="s">
        <v>859</v>
      </c>
      <c r="E616" s="13" t="s">
        <v>19</v>
      </c>
      <c r="F616" s="109">
        <f>SUM(G616:I616)</f>
        <v>492.70312999999999</v>
      </c>
      <c r="G616" s="109">
        <v>0</v>
      </c>
      <c r="H616" s="101">
        <v>0</v>
      </c>
      <c r="I616" s="101">
        <f>492703.13/1000</f>
        <v>492.70312999999999</v>
      </c>
      <c r="J616" s="101">
        <v>0</v>
      </c>
      <c r="K616" s="13" t="s">
        <v>852</v>
      </c>
    </row>
    <row r="617" spans="1:11" s="28" customFormat="1" ht="26.4" x14ac:dyDescent="0.3">
      <c r="A617" s="53">
        <v>557</v>
      </c>
      <c r="B617" s="243"/>
      <c r="C617" s="16" t="s">
        <v>1612</v>
      </c>
      <c r="D617" s="13" t="s">
        <v>860</v>
      </c>
      <c r="E617" s="13" t="s">
        <v>19</v>
      </c>
      <c r="F617" s="109">
        <v>340.92</v>
      </c>
      <c r="G617" s="109">
        <v>0</v>
      </c>
      <c r="H617" s="101">
        <v>0</v>
      </c>
      <c r="I617" s="101">
        <v>340.92</v>
      </c>
      <c r="J617" s="101">
        <v>0</v>
      </c>
      <c r="K617" s="13" t="s">
        <v>207</v>
      </c>
    </row>
    <row r="618" spans="1:11" s="28" customFormat="1" ht="39.6" x14ac:dyDescent="0.3">
      <c r="A618" s="53">
        <v>558</v>
      </c>
      <c r="B618" s="243"/>
      <c r="C618" s="16" t="s">
        <v>1613</v>
      </c>
      <c r="D618" s="13" t="s">
        <v>861</v>
      </c>
      <c r="E618" s="13" t="s">
        <v>19</v>
      </c>
      <c r="F618" s="109">
        <f>SUM(G618:I618)</f>
        <v>246.30017999999998</v>
      </c>
      <c r="G618" s="109">
        <v>0</v>
      </c>
      <c r="H618" s="101">
        <v>0</v>
      </c>
      <c r="I618" s="101">
        <f>246300.18/1000</f>
        <v>246.30017999999998</v>
      </c>
      <c r="J618" s="101">
        <v>0</v>
      </c>
      <c r="K618" s="13" t="s">
        <v>852</v>
      </c>
    </row>
    <row r="619" spans="1:11" s="28" customFormat="1" ht="29.4" customHeight="1" x14ac:dyDescent="0.3">
      <c r="A619" s="53">
        <v>559</v>
      </c>
      <c r="B619" s="243"/>
      <c r="C619" s="16" t="s">
        <v>1614</v>
      </c>
      <c r="D619" s="13" t="s">
        <v>862</v>
      </c>
      <c r="E619" s="13" t="s">
        <v>18</v>
      </c>
      <c r="F619" s="109">
        <f>SUM(G619:I619)</f>
        <v>982.32021999999995</v>
      </c>
      <c r="G619" s="109">
        <v>0</v>
      </c>
      <c r="H619" s="101">
        <v>0</v>
      </c>
      <c r="I619" s="101">
        <f>982320.22/1000</f>
        <v>982.32021999999995</v>
      </c>
      <c r="J619" s="101">
        <v>0</v>
      </c>
      <c r="K619" s="13" t="s">
        <v>852</v>
      </c>
    </row>
    <row r="620" spans="1:11" s="28" customFormat="1" ht="39.6" x14ac:dyDescent="0.3">
      <c r="A620" s="53">
        <v>560</v>
      </c>
      <c r="B620" s="244"/>
      <c r="C620" s="16" t="s">
        <v>1615</v>
      </c>
      <c r="D620" s="13" t="s">
        <v>863</v>
      </c>
      <c r="E620" s="13" t="s">
        <v>19</v>
      </c>
      <c r="F620" s="109">
        <f>SUM(G620:I620)</f>
        <v>131.45400000000001</v>
      </c>
      <c r="G620" s="109">
        <v>0</v>
      </c>
      <c r="H620" s="101">
        <v>0</v>
      </c>
      <c r="I620" s="101">
        <f>131454/1000</f>
        <v>131.45400000000001</v>
      </c>
      <c r="J620" s="101">
        <v>0</v>
      </c>
      <c r="K620" s="13" t="s">
        <v>852</v>
      </c>
    </row>
    <row r="621" spans="1:11" s="32" customFormat="1" ht="27.6" customHeight="1" x14ac:dyDescent="0.3">
      <c r="A621" s="240" t="s">
        <v>866</v>
      </c>
      <c r="B621" s="240"/>
      <c r="C621" s="240"/>
      <c r="D621" s="31"/>
      <c r="E621" s="31"/>
      <c r="F621" s="134">
        <f>SUM(F608:F620)</f>
        <v>10158.22524</v>
      </c>
      <c r="G621" s="134">
        <f>SUM(G608:G620)</f>
        <v>0</v>
      </c>
      <c r="H621" s="134">
        <f>SUM(H608:H620)</f>
        <v>0</v>
      </c>
      <c r="I621" s="134">
        <f>SUM(I608:I620)</f>
        <v>10158.22524</v>
      </c>
      <c r="J621" s="134"/>
      <c r="K621" s="31"/>
    </row>
    <row r="622" spans="1:11" s="49" customFormat="1" ht="27" customHeight="1" x14ac:dyDescent="0.3">
      <c r="A622" s="16" t="s">
        <v>2562</v>
      </c>
      <c r="B622" s="242" t="s">
        <v>867</v>
      </c>
      <c r="C622" s="18" t="s">
        <v>868</v>
      </c>
      <c r="D622" s="16" t="s">
        <v>869</v>
      </c>
      <c r="E622" s="16" t="s">
        <v>19</v>
      </c>
      <c r="F622" s="107">
        <f>G622+H622+I622+J622</f>
        <v>517.58000000000004</v>
      </c>
      <c r="G622" s="107">
        <f>517580/1000</f>
        <v>517.58000000000004</v>
      </c>
      <c r="H622" s="107">
        <v>0</v>
      </c>
      <c r="I622" s="107">
        <v>0</v>
      </c>
      <c r="J622" s="107">
        <v>0</v>
      </c>
      <c r="K622" s="39" t="s">
        <v>139</v>
      </c>
    </row>
    <row r="623" spans="1:11" s="49" customFormat="1" ht="26.4" x14ac:dyDescent="0.3">
      <c r="A623" s="16" t="s">
        <v>2563</v>
      </c>
      <c r="B623" s="243"/>
      <c r="C623" s="18" t="s">
        <v>870</v>
      </c>
      <c r="D623" s="16" t="s">
        <v>871</v>
      </c>
      <c r="E623" s="16" t="s">
        <v>19</v>
      </c>
      <c r="F623" s="107">
        <f t="shared" ref="F623:F682" si="63">G623+H623+I623+J623</f>
        <v>1971.8735900000001</v>
      </c>
      <c r="G623" s="107">
        <f>1971873.59/1000</f>
        <v>1971.8735900000001</v>
      </c>
      <c r="H623" s="107">
        <v>0</v>
      </c>
      <c r="I623" s="107">
        <v>0</v>
      </c>
      <c r="J623" s="107">
        <v>0</v>
      </c>
      <c r="K623" s="39" t="s">
        <v>185</v>
      </c>
    </row>
    <row r="624" spans="1:11" s="49" customFormat="1" ht="26.4" x14ac:dyDescent="0.3">
      <c r="A624" s="16" t="s">
        <v>2564</v>
      </c>
      <c r="B624" s="243"/>
      <c r="C624" s="18" t="s">
        <v>872</v>
      </c>
      <c r="D624" s="16" t="s">
        <v>873</v>
      </c>
      <c r="E624" s="16" t="s">
        <v>19</v>
      </c>
      <c r="F624" s="107">
        <f t="shared" si="63"/>
        <v>1675.3961899999999</v>
      </c>
      <c r="G624" s="107">
        <f>1675396.19/1000</f>
        <v>1675.3961899999999</v>
      </c>
      <c r="H624" s="107">
        <v>0</v>
      </c>
      <c r="I624" s="107">
        <v>0</v>
      </c>
      <c r="J624" s="107">
        <v>0</v>
      </c>
      <c r="K624" s="39" t="s">
        <v>139</v>
      </c>
    </row>
    <row r="625" spans="1:11" s="49" customFormat="1" ht="26.4" x14ac:dyDescent="0.3">
      <c r="A625" s="16" t="s">
        <v>2565</v>
      </c>
      <c r="B625" s="243"/>
      <c r="C625" s="18" t="s">
        <v>874</v>
      </c>
      <c r="D625" s="16" t="s">
        <v>875</v>
      </c>
      <c r="E625" s="16" t="s">
        <v>19</v>
      </c>
      <c r="F625" s="107">
        <f t="shared" si="63"/>
        <v>1278.4682499999999</v>
      </c>
      <c r="G625" s="107">
        <f>1278468.25/1000</f>
        <v>1278.4682499999999</v>
      </c>
      <c r="H625" s="107">
        <v>0</v>
      </c>
      <c r="I625" s="107">
        <v>0</v>
      </c>
      <c r="J625" s="107">
        <v>0</v>
      </c>
      <c r="K625" s="39" t="s">
        <v>190</v>
      </c>
    </row>
    <row r="626" spans="1:11" s="49" customFormat="1" ht="26.4" x14ac:dyDescent="0.3">
      <c r="A626" s="16" t="s">
        <v>2566</v>
      </c>
      <c r="B626" s="243"/>
      <c r="C626" s="18" t="s">
        <v>876</v>
      </c>
      <c r="D626" s="16" t="s">
        <v>591</v>
      </c>
      <c r="E626" s="16" t="s">
        <v>19</v>
      </c>
      <c r="F626" s="107">
        <f t="shared" si="63"/>
        <v>2758.5605599999999</v>
      </c>
      <c r="G626" s="107">
        <f>2758560.56/1000</f>
        <v>2758.5605599999999</v>
      </c>
      <c r="H626" s="107">
        <v>0</v>
      </c>
      <c r="I626" s="107">
        <v>0</v>
      </c>
      <c r="J626" s="107">
        <v>0</v>
      </c>
      <c r="K626" s="39" t="s">
        <v>310</v>
      </c>
    </row>
    <row r="627" spans="1:11" s="49" customFormat="1" ht="26.4" x14ac:dyDescent="0.3">
      <c r="A627" s="16" t="s">
        <v>2567</v>
      </c>
      <c r="B627" s="243"/>
      <c r="C627" s="18" t="s">
        <v>877</v>
      </c>
      <c r="D627" s="16" t="s">
        <v>878</v>
      </c>
      <c r="E627" s="16" t="s">
        <v>19</v>
      </c>
      <c r="F627" s="107">
        <f t="shared" si="63"/>
        <v>678.98271</v>
      </c>
      <c r="G627" s="107">
        <f>678982.71/1000</f>
        <v>678.98271</v>
      </c>
      <c r="H627" s="107">
        <v>0</v>
      </c>
      <c r="I627" s="107">
        <v>0</v>
      </c>
      <c r="J627" s="107">
        <v>0</v>
      </c>
      <c r="K627" s="39" t="s">
        <v>143</v>
      </c>
    </row>
    <row r="628" spans="1:11" s="49" customFormat="1" ht="26.4" x14ac:dyDescent="0.3">
      <c r="A628" s="16" t="s">
        <v>2568</v>
      </c>
      <c r="B628" s="243"/>
      <c r="C628" s="18" t="s">
        <v>879</v>
      </c>
      <c r="D628" s="16" t="s">
        <v>880</v>
      </c>
      <c r="E628" s="16" t="s">
        <v>19</v>
      </c>
      <c r="F628" s="107">
        <f t="shared" si="63"/>
        <v>3267.20921</v>
      </c>
      <c r="G628" s="107">
        <f>3267209.21/1000</f>
        <v>3267.20921</v>
      </c>
      <c r="H628" s="107">
        <v>0</v>
      </c>
      <c r="I628" s="107">
        <v>0</v>
      </c>
      <c r="J628" s="107">
        <v>0</v>
      </c>
      <c r="K628" s="39" t="s">
        <v>143</v>
      </c>
    </row>
    <row r="629" spans="1:11" s="49" customFormat="1" ht="26.4" x14ac:dyDescent="0.3">
      <c r="A629" s="16" t="s">
        <v>2569</v>
      </c>
      <c r="B629" s="243"/>
      <c r="C629" s="18" t="s">
        <v>881</v>
      </c>
      <c r="D629" s="16" t="s">
        <v>882</v>
      </c>
      <c r="E629" s="16" t="s">
        <v>19</v>
      </c>
      <c r="F629" s="107">
        <f t="shared" si="63"/>
        <v>174.73464000000001</v>
      </c>
      <c r="G629" s="107">
        <f>174734.64/1000</f>
        <v>174.73464000000001</v>
      </c>
      <c r="H629" s="107">
        <v>0</v>
      </c>
      <c r="I629" s="107">
        <v>0</v>
      </c>
      <c r="J629" s="107">
        <v>0</v>
      </c>
      <c r="K629" s="39" t="s">
        <v>185</v>
      </c>
    </row>
    <row r="630" spans="1:11" s="49" customFormat="1" ht="26.4" x14ac:dyDescent="0.3">
      <c r="A630" s="16" t="s">
        <v>2570</v>
      </c>
      <c r="B630" s="243"/>
      <c r="C630" s="18" t="s">
        <v>883</v>
      </c>
      <c r="D630" s="16" t="s">
        <v>884</v>
      </c>
      <c r="E630" s="16" t="s">
        <v>19</v>
      </c>
      <c r="F630" s="107">
        <f t="shared" si="63"/>
        <v>388.72399999999999</v>
      </c>
      <c r="G630" s="107">
        <f>388724/1000</f>
        <v>388.72399999999999</v>
      </c>
      <c r="H630" s="107">
        <v>0</v>
      </c>
      <c r="I630" s="107">
        <v>0</v>
      </c>
      <c r="J630" s="107">
        <v>0</v>
      </c>
      <c r="K630" s="39" t="s">
        <v>215</v>
      </c>
    </row>
    <row r="631" spans="1:11" s="49" customFormat="1" ht="26.4" x14ac:dyDescent="0.3">
      <c r="A631" s="16" t="s">
        <v>2571</v>
      </c>
      <c r="B631" s="243"/>
      <c r="C631" s="18" t="s">
        <v>885</v>
      </c>
      <c r="D631" s="16" t="s">
        <v>886</v>
      </c>
      <c r="E631" s="16" t="s">
        <v>19</v>
      </c>
      <c r="F631" s="107">
        <f>G631+H631+I631+J631</f>
        <v>1000.0004399999999</v>
      </c>
      <c r="G631" s="107">
        <f>1000000.44/1000</f>
        <v>1000.0004399999999</v>
      </c>
      <c r="H631" s="107">
        <v>0</v>
      </c>
      <c r="I631" s="107">
        <v>0</v>
      </c>
      <c r="J631" s="107">
        <v>0</v>
      </c>
      <c r="K631" s="39" t="s">
        <v>185</v>
      </c>
    </row>
    <row r="632" spans="1:11" s="49" customFormat="1" ht="26.4" x14ac:dyDescent="0.3">
      <c r="A632" s="16" t="s">
        <v>2572</v>
      </c>
      <c r="B632" s="243"/>
      <c r="C632" s="18" t="s">
        <v>887</v>
      </c>
      <c r="D632" s="16" t="s">
        <v>888</v>
      </c>
      <c r="E632" s="16" t="s">
        <v>19</v>
      </c>
      <c r="F632" s="107">
        <f t="shared" si="63"/>
        <v>398.7</v>
      </c>
      <c r="G632" s="107">
        <f>398700/1000</f>
        <v>398.7</v>
      </c>
      <c r="H632" s="107">
        <v>0</v>
      </c>
      <c r="I632" s="107">
        <v>0</v>
      </c>
      <c r="J632" s="107">
        <v>0</v>
      </c>
      <c r="K632" s="39" t="s">
        <v>274</v>
      </c>
    </row>
    <row r="633" spans="1:11" s="49" customFormat="1" ht="26.4" x14ac:dyDescent="0.3">
      <c r="A633" s="16" t="s">
        <v>2573</v>
      </c>
      <c r="B633" s="243"/>
      <c r="C633" s="18" t="s">
        <v>889</v>
      </c>
      <c r="D633" s="16" t="s">
        <v>890</v>
      </c>
      <c r="E633" s="16" t="s">
        <v>19</v>
      </c>
      <c r="F633" s="107">
        <f t="shared" si="63"/>
        <v>755.21199999999999</v>
      </c>
      <c r="G633" s="107">
        <f>755212/1000</f>
        <v>755.21199999999999</v>
      </c>
      <c r="H633" s="107">
        <v>0</v>
      </c>
      <c r="I633" s="107">
        <v>0</v>
      </c>
      <c r="J633" s="107">
        <v>0</v>
      </c>
      <c r="K633" s="39" t="s">
        <v>310</v>
      </c>
    </row>
    <row r="634" spans="1:11" s="49" customFormat="1" ht="26.4" x14ac:dyDescent="0.3">
      <c r="A634" s="16" t="s">
        <v>2574</v>
      </c>
      <c r="B634" s="243"/>
      <c r="C634" s="18" t="s">
        <v>891</v>
      </c>
      <c r="D634" s="16" t="s">
        <v>892</v>
      </c>
      <c r="E634" s="16" t="s">
        <v>19</v>
      </c>
      <c r="F634" s="107">
        <f t="shared" si="63"/>
        <v>1000</v>
      </c>
      <c r="G634" s="107">
        <f>1000000/1000</f>
        <v>1000</v>
      </c>
      <c r="H634" s="107">
        <v>0</v>
      </c>
      <c r="I634" s="107">
        <v>0</v>
      </c>
      <c r="J634" s="107">
        <v>0</v>
      </c>
      <c r="K634" s="39" t="s">
        <v>143</v>
      </c>
    </row>
    <row r="635" spans="1:11" s="49" customFormat="1" ht="26.4" x14ac:dyDescent="0.3">
      <c r="A635" s="16" t="s">
        <v>2575</v>
      </c>
      <c r="B635" s="243"/>
      <c r="C635" s="18" t="s">
        <v>893</v>
      </c>
      <c r="D635" s="16" t="s">
        <v>365</v>
      </c>
      <c r="E635" s="16" t="s">
        <v>19</v>
      </c>
      <c r="F635" s="107">
        <f t="shared" si="63"/>
        <v>10889.720359999999</v>
      </c>
      <c r="G635" s="107">
        <f>10889720.36/1000</f>
        <v>10889.720359999999</v>
      </c>
      <c r="H635" s="107">
        <v>0</v>
      </c>
      <c r="I635" s="107">
        <v>0</v>
      </c>
      <c r="J635" s="107">
        <v>0</v>
      </c>
      <c r="K635" s="39" t="s">
        <v>185</v>
      </c>
    </row>
    <row r="636" spans="1:11" s="49" customFormat="1" ht="26.4" x14ac:dyDescent="0.3">
      <c r="A636" s="16" t="s">
        <v>2576</v>
      </c>
      <c r="B636" s="243"/>
      <c r="C636" s="18" t="s">
        <v>894</v>
      </c>
      <c r="D636" s="16" t="s">
        <v>895</v>
      </c>
      <c r="E636" s="16" t="s">
        <v>19</v>
      </c>
      <c r="F636" s="107">
        <f t="shared" si="63"/>
        <v>2456.7477200000003</v>
      </c>
      <c r="G636" s="107">
        <f>2456747.72/1000</f>
        <v>2456.7477200000003</v>
      </c>
      <c r="H636" s="107">
        <v>0</v>
      </c>
      <c r="I636" s="107">
        <v>0</v>
      </c>
      <c r="J636" s="107">
        <v>0</v>
      </c>
      <c r="K636" s="39" t="s">
        <v>143</v>
      </c>
    </row>
    <row r="637" spans="1:11" s="49" customFormat="1" ht="26.4" x14ac:dyDescent="0.3">
      <c r="A637" s="16" t="s">
        <v>2577</v>
      </c>
      <c r="B637" s="243"/>
      <c r="C637" s="18" t="s">
        <v>896</v>
      </c>
      <c r="D637" s="16" t="s">
        <v>897</v>
      </c>
      <c r="E637" s="16" t="s">
        <v>19</v>
      </c>
      <c r="F637" s="107">
        <f t="shared" si="63"/>
        <v>83.995999999999995</v>
      </c>
      <c r="G637" s="107">
        <f>83996/1000</f>
        <v>83.995999999999995</v>
      </c>
      <c r="H637" s="107">
        <v>0</v>
      </c>
      <c r="I637" s="107">
        <v>0</v>
      </c>
      <c r="J637" s="107">
        <v>0</v>
      </c>
      <c r="K637" s="39" t="s">
        <v>143</v>
      </c>
    </row>
    <row r="638" spans="1:11" s="49" customFormat="1" ht="26.4" x14ac:dyDescent="0.3">
      <c r="A638" s="16" t="s">
        <v>2578</v>
      </c>
      <c r="B638" s="243"/>
      <c r="C638" s="18" t="s">
        <v>898</v>
      </c>
      <c r="D638" s="16" t="s">
        <v>899</v>
      </c>
      <c r="E638" s="16" t="s">
        <v>19</v>
      </c>
      <c r="F638" s="107">
        <f>G638+H638+I638+J638</f>
        <v>1000</v>
      </c>
      <c r="G638" s="107">
        <f>1000000/1000</f>
        <v>1000</v>
      </c>
      <c r="H638" s="107">
        <v>0</v>
      </c>
      <c r="I638" s="107">
        <v>0</v>
      </c>
      <c r="J638" s="107">
        <v>0</v>
      </c>
      <c r="K638" s="39" t="s">
        <v>185</v>
      </c>
    </row>
    <row r="639" spans="1:11" s="49" customFormat="1" ht="26.4" x14ac:dyDescent="0.3">
      <c r="A639" s="16" t="s">
        <v>2579</v>
      </c>
      <c r="B639" s="243"/>
      <c r="C639" s="18" t="s">
        <v>900</v>
      </c>
      <c r="D639" s="16" t="s">
        <v>901</v>
      </c>
      <c r="E639" s="16" t="s">
        <v>19</v>
      </c>
      <c r="F639" s="107">
        <f t="shared" si="63"/>
        <v>3006.058</v>
      </c>
      <c r="G639" s="107">
        <f>3006058/1000</f>
        <v>3006.058</v>
      </c>
      <c r="H639" s="107">
        <v>0</v>
      </c>
      <c r="I639" s="107">
        <v>0</v>
      </c>
      <c r="J639" s="107">
        <v>0</v>
      </c>
      <c r="K639" s="39" t="s">
        <v>185</v>
      </c>
    </row>
    <row r="640" spans="1:11" s="49" customFormat="1" ht="26.4" x14ac:dyDescent="0.3">
      <c r="A640" s="16" t="s">
        <v>2580</v>
      </c>
      <c r="B640" s="243"/>
      <c r="C640" s="18" t="s">
        <v>902</v>
      </c>
      <c r="D640" s="16" t="s">
        <v>903</v>
      </c>
      <c r="E640" s="16" t="s">
        <v>19</v>
      </c>
      <c r="F640" s="107">
        <f t="shared" si="63"/>
        <v>364.06670000000003</v>
      </c>
      <c r="G640" s="107">
        <f>364066.7/1000</f>
        <v>364.06670000000003</v>
      </c>
      <c r="H640" s="107">
        <v>0</v>
      </c>
      <c r="I640" s="107">
        <v>0</v>
      </c>
      <c r="J640" s="107">
        <v>0</v>
      </c>
      <c r="K640" s="39" t="s">
        <v>139</v>
      </c>
    </row>
    <row r="641" spans="1:11" s="49" customFormat="1" ht="26.4" x14ac:dyDescent="0.3">
      <c r="A641" s="16" t="s">
        <v>2581</v>
      </c>
      <c r="B641" s="243"/>
      <c r="C641" s="18" t="s">
        <v>904</v>
      </c>
      <c r="D641" s="16" t="s">
        <v>905</v>
      </c>
      <c r="E641" s="16" t="s">
        <v>19</v>
      </c>
      <c r="F641" s="107">
        <f t="shared" si="63"/>
        <v>1144.2662</v>
      </c>
      <c r="G641" s="107">
        <f>1144266.2/1000</f>
        <v>1144.2662</v>
      </c>
      <c r="H641" s="107">
        <v>0</v>
      </c>
      <c r="I641" s="107">
        <v>0</v>
      </c>
      <c r="J641" s="107">
        <v>0</v>
      </c>
      <c r="K641" s="39" t="s">
        <v>143</v>
      </c>
    </row>
    <row r="642" spans="1:11" s="49" customFormat="1" ht="26.4" x14ac:dyDescent="0.3">
      <c r="A642" s="16" t="s">
        <v>2582</v>
      </c>
      <c r="B642" s="243"/>
      <c r="C642" s="18" t="s">
        <v>906</v>
      </c>
      <c r="D642" s="16" t="s">
        <v>907</v>
      </c>
      <c r="E642" s="16" t="s">
        <v>19</v>
      </c>
      <c r="F642" s="107">
        <f t="shared" si="63"/>
        <v>1177.3658</v>
      </c>
      <c r="G642" s="107">
        <f>1177365.8/1000</f>
        <v>1177.3658</v>
      </c>
      <c r="H642" s="107">
        <v>0</v>
      </c>
      <c r="I642" s="107">
        <v>0</v>
      </c>
      <c r="J642" s="107">
        <v>0</v>
      </c>
      <c r="K642" s="39" t="s">
        <v>185</v>
      </c>
    </row>
    <row r="643" spans="1:11" s="49" customFormat="1" ht="26.4" x14ac:dyDescent="0.3">
      <c r="A643" s="16" t="s">
        <v>2583</v>
      </c>
      <c r="B643" s="243"/>
      <c r="C643" s="18" t="s">
        <v>908</v>
      </c>
      <c r="D643" s="16" t="s">
        <v>909</v>
      </c>
      <c r="E643" s="16" t="s">
        <v>19</v>
      </c>
      <c r="F643" s="107">
        <f t="shared" si="63"/>
        <v>1371.1094699999999</v>
      </c>
      <c r="G643" s="107">
        <f>1371109.47/1000</f>
        <v>1371.1094699999999</v>
      </c>
      <c r="H643" s="107">
        <v>0</v>
      </c>
      <c r="I643" s="107">
        <v>0</v>
      </c>
      <c r="J643" s="107">
        <v>0</v>
      </c>
      <c r="K643" s="39" t="s">
        <v>139</v>
      </c>
    </row>
    <row r="644" spans="1:11" s="49" customFormat="1" ht="41.4" customHeight="1" x14ac:dyDescent="0.3">
      <c r="A644" s="16" t="s">
        <v>2584</v>
      </c>
      <c r="B644" s="243"/>
      <c r="C644" s="18" t="s">
        <v>910</v>
      </c>
      <c r="D644" s="16" t="s">
        <v>911</v>
      </c>
      <c r="E644" s="16" t="s">
        <v>19</v>
      </c>
      <c r="F644" s="107">
        <f t="shared" si="63"/>
        <v>648.85996</v>
      </c>
      <c r="G644" s="107">
        <f>648859.96/1000</f>
        <v>648.85996</v>
      </c>
      <c r="H644" s="107">
        <v>0</v>
      </c>
      <c r="I644" s="107">
        <v>0</v>
      </c>
      <c r="J644" s="107">
        <v>0</v>
      </c>
      <c r="K644" s="39" t="s">
        <v>310</v>
      </c>
    </row>
    <row r="645" spans="1:11" s="49" customFormat="1" ht="26.4" x14ac:dyDescent="0.3">
      <c r="A645" s="16" t="s">
        <v>2585</v>
      </c>
      <c r="B645" s="243"/>
      <c r="C645" s="18" t="s">
        <v>912</v>
      </c>
      <c r="D645" s="16" t="s">
        <v>913</v>
      </c>
      <c r="E645" s="16" t="s">
        <v>19</v>
      </c>
      <c r="F645" s="107">
        <f>G645+H645+I645+J645</f>
        <v>10481.58295</v>
      </c>
      <c r="G645" s="107">
        <f>10481582.95/1000</f>
        <v>10481.58295</v>
      </c>
      <c r="H645" s="107">
        <v>0</v>
      </c>
      <c r="I645" s="107">
        <v>0</v>
      </c>
      <c r="J645" s="107">
        <v>0</v>
      </c>
      <c r="K645" s="39" t="s">
        <v>143</v>
      </c>
    </row>
    <row r="646" spans="1:11" s="49" customFormat="1" ht="26.4" x14ac:dyDescent="0.3">
      <c r="A646" s="16" t="s">
        <v>2586</v>
      </c>
      <c r="B646" s="243"/>
      <c r="C646" s="18" t="s">
        <v>914</v>
      </c>
      <c r="D646" s="16" t="s">
        <v>915</v>
      </c>
      <c r="E646" s="16" t="s">
        <v>19</v>
      </c>
      <c r="F646" s="107">
        <f t="shared" si="63"/>
        <v>16</v>
      </c>
      <c r="G646" s="107">
        <f>16000/1000</f>
        <v>16</v>
      </c>
      <c r="H646" s="107">
        <v>0</v>
      </c>
      <c r="I646" s="107">
        <v>0</v>
      </c>
      <c r="J646" s="107">
        <v>0</v>
      </c>
      <c r="K646" s="39" t="s">
        <v>143</v>
      </c>
    </row>
    <row r="647" spans="1:11" s="49" customFormat="1" ht="26.4" x14ac:dyDescent="0.3">
      <c r="A647" s="16" t="s">
        <v>2587</v>
      </c>
      <c r="B647" s="243"/>
      <c r="C647" s="18" t="s">
        <v>916</v>
      </c>
      <c r="D647" s="16" t="s">
        <v>917</v>
      </c>
      <c r="E647" s="16" t="s">
        <v>19</v>
      </c>
      <c r="F647" s="107">
        <f t="shared" si="63"/>
        <v>1000</v>
      </c>
      <c r="G647" s="107">
        <v>0</v>
      </c>
      <c r="H647" s="107">
        <f>916666.68/1000</f>
        <v>916.66668000000004</v>
      </c>
      <c r="I647" s="107">
        <f>83333.32/1000</f>
        <v>83.333320000000001</v>
      </c>
      <c r="J647" s="107">
        <v>0</v>
      </c>
      <c r="K647" s="39" t="s">
        <v>277</v>
      </c>
    </row>
    <row r="648" spans="1:11" s="49" customFormat="1" ht="26.4" x14ac:dyDescent="0.3">
      <c r="A648" s="16" t="s">
        <v>2588</v>
      </c>
      <c r="B648" s="243"/>
      <c r="C648" s="18" t="s">
        <v>918</v>
      </c>
      <c r="D648" s="16" t="s">
        <v>137</v>
      </c>
      <c r="E648" s="16" t="s">
        <v>19</v>
      </c>
      <c r="F648" s="107">
        <f t="shared" si="63"/>
        <v>1165.7545000000002</v>
      </c>
      <c r="G648" s="107">
        <v>0</v>
      </c>
      <c r="H648" s="107">
        <f>1068608.29/1000</f>
        <v>1068.6082900000001</v>
      </c>
      <c r="I648" s="107">
        <f>97146.21/1000</f>
        <v>97.146210000000011</v>
      </c>
      <c r="J648" s="107">
        <v>0</v>
      </c>
      <c r="K648" s="39" t="s">
        <v>277</v>
      </c>
    </row>
    <row r="649" spans="1:11" s="49" customFormat="1" ht="28.8" customHeight="1" x14ac:dyDescent="0.3">
      <c r="A649" s="16" t="s">
        <v>2589</v>
      </c>
      <c r="B649" s="243"/>
      <c r="C649" s="18" t="s">
        <v>919</v>
      </c>
      <c r="D649" s="16" t="s">
        <v>920</v>
      </c>
      <c r="E649" s="16" t="s">
        <v>19</v>
      </c>
      <c r="F649" s="107">
        <f t="shared" si="63"/>
        <v>143.27710999999999</v>
      </c>
      <c r="G649" s="107">
        <f>143277.11/1000</f>
        <v>143.27710999999999</v>
      </c>
      <c r="H649" s="107">
        <v>0</v>
      </c>
      <c r="I649" s="107">
        <v>0</v>
      </c>
      <c r="J649" s="107">
        <v>0</v>
      </c>
      <c r="K649" s="39" t="s">
        <v>139</v>
      </c>
    </row>
    <row r="650" spans="1:11" s="49" customFormat="1" ht="52.8" x14ac:dyDescent="0.3">
      <c r="A650" s="16" t="s">
        <v>2590</v>
      </c>
      <c r="B650" s="243"/>
      <c r="C650" s="18" t="s">
        <v>921</v>
      </c>
      <c r="D650" s="16" t="s">
        <v>922</v>
      </c>
      <c r="E650" s="16" t="s">
        <v>19</v>
      </c>
      <c r="F650" s="107">
        <f>G650+H650+I650+J650</f>
        <v>238.90907000000001</v>
      </c>
      <c r="G650" s="107">
        <v>0</v>
      </c>
      <c r="H650" s="107">
        <f>238909.07/1000</f>
        <v>238.90907000000001</v>
      </c>
      <c r="I650" s="107">
        <v>0</v>
      </c>
      <c r="J650" s="107">
        <v>0</v>
      </c>
      <c r="K650" s="39" t="s">
        <v>923</v>
      </c>
    </row>
    <row r="651" spans="1:11" s="49" customFormat="1" ht="39.6" x14ac:dyDescent="0.3">
      <c r="A651" s="16" t="s">
        <v>2591</v>
      </c>
      <c r="B651" s="243"/>
      <c r="C651" s="18" t="s">
        <v>924</v>
      </c>
      <c r="D651" s="16" t="s">
        <v>925</v>
      </c>
      <c r="E651" s="16" t="s">
        <v>19</v>
      </c>
      <c r="F651" s="107">
        <f t="shared" si="63"/>
        <v>93</v>
      </c>
      <c r="G651" s="107">
        <v>0</v>
      </c>
      <c r="H651" s="107">
        <f>85250/1000</f>
        <v>85.25</v>
      </c>
      <c r="I651" s="107">
        <f>7750/1000</f>
        <v>7.75</v>
      </c>
      <c r="J651" s="107">
        <v>0</v>
      </c>
      <c r="K651" s="39" t="s">
        <v>215</v>
      </c>
    </row>
    <row r="652" spans="1:11" s="49" customFormat="1" ht="26.4" x14ac:dyDescent="0.3">
      <c r="A652" s="16" t="s">
        <v>2592</v>
      </c>
      <c r="B652" s="243"/>
      <c r="C652" s="18" t="s">
        <v>926</v>
      </c>
      <c r="D652" s="16" t="s">
        <v>927</v>
      </c>
      <c r="E652" s="16" t="s">
        <v>19</v>
      </c>
      <c r="F652" s="107">
        <f t="shared" si="63"/>
        <v>5597.4740000000002</v>
      </c>
      <c r="G652" s="107">
        <f>5597474/1000</f>
        <v>5597.4740000000002</v>
      </c>
      <c r="H652" s="107">
        <v>0</v>
      </c>
      <c r="I652" s="107">
        <v>0</v>
      </c>
      <c r="J652" s="107">
        <v>0</v>
      </c>
      <c r="K652" s="39" t="s">
        <v>185</v>
      </c>
    </row>
    <row r="653" spans="1:11" s="49" customFormat="1" ht="31.2" customHeight="1" x14ac:dyDescent="0.3">
      <c r="A653" s="16" t="s">
        <v>2593</v>
      </c>
      <c r="B653" s="243"/>
      <c r="C653" s="18" t="s">
        <v>928</v>
      </c>
      <c r="D653" s="16" t="s">
        <v>929</v>
      </c>
      <c r="E653" s="16" t="s">
        <v>19</v>
      </c>
      <c r="F653" s="107">
        <f t="shared" si="63"/>
        <v>3648.2209199999998</v>
      </c>
      <c r="G653" s="107">
        <f>3648220.92/1000</f>
        <v>3648.2209199999998</v>
      </c>
      <c r="H653" s="107">
        <v>0</v>
      </c>
      <c r="I653" s="107">
        <v>0</v>
      </c>
      <c r="J653" s="107">
        <v>0</v>
      </c>
      <c r="K653" s="39" t="s">
        <v>139</v>
      </c>
    </row>
    <row r="654" spans="1:11" s="49" customFormat="1" ht="26.4" x14ac:dyDescent="0.3">
      <c r="A654" s="16" t="s">
        <v>2594</v>
      </c>
      <c r="B654" s="243"/>
      <c r="C654" s="18" t="s">
        <v>930</v>
      </c>
      <c r="D654" s="16" t="s">
        <v>931</v>
      </c>
      <c r="E654" s="16" t="s">
        <v>19</v>
      </c>
      <c r="F654" s="107">
        <f t="shared" si="63"/>
        <v>151.76343</v>
      </c>
      <c r="G654" s="107">
        <f>151763.43/1000</f>
        <v>151.76343</v>
      </c>
      <c r="H654" s="107">
        <v>0</v>
      </c>
      <c r="I654" s="107">
        <v>0</v>
      </c>
      <c r="J654" s="107">
        <v>0</v>
      </c>
      <c r="K654" s="39" t="s">
        <v>139</v>
      </c>
    </row>
    <row r="655" spans="1:11" s="49" customFormat="1" ht="26.4" x14ac:dyDescent="0.3">
      <c r="A655" s="16" t="s">
        <v>2595</v>
      </c>
      <c r="B655" s="243"/>
      <c r="C655" s="18" t="s">
        <v>932</v>
      </c>
      <c r="D655" s="16" t="s">
        <v>933</v>
      </c>
      <c r="E655" s="16" t="s">
        <v>19</v>
      </c>
      <c r="F655" s="107">
        <f>G655+H655+I655+J655</f>
        <v>139.76722000000001</v>
      </c>
      <c r="G655" s="107">
        <f>139767.22/1000</f>
        <v>139.76722000000001</v>
      </c>
      <c r="H655" s="107">
        <v>0</v>
      </c>
      <c r="I655" s="107">
        <v>0</v>
      </c>
      <c r="J655" s="107">
        <v>0</v>
      </c>
      <c r="K655" s="39" t="s">
        <v>139</v>
      </c>
    </row>
    <row r="656" spans="1:11" s="49" customFormat="1" ht="26.4" x14ac:dyDescent="0.3">
      <c r="A656" s="16" t="s">
        <v>2596</v>
      </c>
      <c r="B656" s="243"/>
      <c r="C656" s="18" t="s">
        <v>934</v>
      </c>
      <c r="D656" s="16" t="s">
        <v>935</v>
      </c>
      <c r="E656" s="16" t="s">
        <v>19</v>
      </c>
      <c r="F656" s="107">
        <f t="shared" si="63"/>
        <v>670.43819999999994</v>
      </c>
      <c r="G656" s="107">
        <f>670438.2/1000</f>
        <v>670.43819999999994</v>
      </c>
      <c r="H656" s="107">
        <v>0</v>
      </c>
      <c r="I656" s="107">
        <v>0</v>
      </c>
      <c r="J656" s="107">
        <v>0</v>
      </c>
      <c r="K656" s="39" t="s">
        <v>185</v>
      </c>
    </row>
    <row r="657" spans="1:11" s="49" customFormat="1" ht="26.4" x14ac:dyDescent="0.3">
      <c r="A657" s="16" t="s">
        <v>2597</v>
      </c>
      <c r="B657" s="243"/>
      <c r="C657" s="18" t="s">
        <v>936</v>
      </c>
      <c r="D657" s="16" t="s">
        <v>935</v>
      </c>
      <c r="E657" s="16" t="s">
        <v>19</v>
      </c>
      <c r="F657" s="107">
        <f t="shared" si="63"/>
        <v>670.43819999999994</v>
      </c>
      <c r="G657" s="107">
        <v>0</v>
      </c>
      <c r="H657" s="107">
        <f>670438.2/1000</f>
        <v>670.43819999999994</v>
      </c>
      <c r="I657" s="107">
        <v>0</v>
      </c>
      <c r="J657" s="107">
        <v>0</v>
      </c>
      <c r="K657" s="39" t="s">
        <v>847</v>
      </c>
    </row>
    <row r="658" spans="1:11" s="49" customFormat="1" ht="26.4" x14ac:dyDescent="0.3">
      <c r="A658" s="16" t="s">
        <v>2598</v>
      </c>
      <c r="B658" s="243"/>
      <c r="C658" s="18" t="s">
        <v>937</v>
      </c>
      <c r="D658" s="16" t="s">
        <v>938</v>
      </c>
      <c r="E658" s="16" t="s">
        <v>19</v>
      </c>
      <c r="F658" s="107">
        <f t="shared" si="63"/>
        <v>978.99023999999997</v>
      </c>
      <c r="G658" s="107">
        <f>978990.24/1000</f>
        <v>978.99023999999997</v>
      </c>
      <c r="H658" s="107">
        <v>0</v>
      </c>
      <c r="I658" s="107">
        <v>0</v>
      </c>
      <c r="J658" s="107">
        <v>0</v>
      </c>
      <c r="K658" s="39" t="s">
        <v>139</v>
      </c>
    </row>
    <row r="659" spans="1:11" s="49" customFormat="1" ht="39.6" x14ac:dyDescent="0.3">
      <c r="A659" s="16" t="s">
        <v>2599</v>
      </c>
      <c r="B659" s="243"/>
      <c r="C659" s="18" t="s">
        <v>939</v>
      </c>
      <c r="D659" s="16" t="s">
        <v>940</v>
      </c>
      <c r="E659" s="16" t="s">
        <v>19</v>
      </c>
      <c r="F659" s="107">
        <f t="shared" si="63"/>
        <v>730</v>
      </c>
      <c r="G659" s="107">
        <f>50000/1000</f>
        <v>50</v>
      </c>
      <c r="H659" s="107">
        <f>580000/1000</f>
        <v>580</v>
      </c>
      <c r="I659" s="107">
        <f>100000/1000</f>
        <v>100</v>
      </c>
      <c r="J659" s="107">
        <v>0</v>
      </c>
      <c r="K659" s="39" t="s">
        <v>847</v>
      </c>
    </row>
    <row r="660" spans="1:11" s="49" customFormat="1" ht="26.4" x14ac:dyDescent="0.3">
      <c r="A660" s="16" t="s">
        <v>2600</v>
      </c>
      <c r="B660" s="243"/>
      <c r="C660" s="18" t="s">
        <v>941</v>
      </c>
      <c r="D660" s="16" t="s">
        <v>942</v>
      </c>
      <c r="E660" s="16" t="s">
        <v>19</v>
      </c>
      <c r="F660" s="107">
        <f>G660+H660+I660+J660</f>
        <v>1218.41264</v>
      </c>
      <c r="G660" s="107">
        <f>257770.21/1000</f>
        <v>257.77021000000002</v>
      </c>
      <c r="H660" s="107">
        <f>960642.43/1000</f>
        <v>960.6424300000001</v>
      </c>
      <c r="I660" s="107">
        <v>0</v>
      </c>
      <c r="J660" s="107">
        <v>0</v>
      </c>
      <c r="K660" s="39" t="s">
        <v>650</v>
      </c>
    </row>
    <row r="661" spans="1:11" s="49" customFormat="1" ht="26.4" x14ac:dyDescent="0.3">
      <c r="A661" s="16" t="s">
        <v>2601</v>
      </c>
      <c r="B661" s="243"/>
      <c r="C661" s="18" t="s">
        <v>943</v>
      </c>
      <c r="D661" s="16" t="s">
        <v>944</v>
      </c>
      <c r="E661" s="16" t="s">
        <v>19</v>
      </c>
      <c r="F661" s="107">
        <f t="shared" si="63"/>
        <v>1618.26928</v>
      </c>
      <c r="G661" s="107">
        <v>0</v>
      </c>
      <c r="H661" s="107">
        <f>1472517.77/1000</f>
        <v>1472.5177699999999</v>
      </c>
      <c r="I661" s="107">
        <f>145751.51/1000</f>
        <v>145.75151</v>
      </c>
      <c r="J661" s="107">
        <v>0</v>
      </c>
      <c r="K661" s="39" t="s">
        <v>923</v>
      </c>
    </row>
    <row r="662" spans="1:11" s="49" customFormat="1" ht="66" x14ac:dyDescent="0.3">
      <c r="A662" s="16" t="s">
        <v>2602</v>
      </c>
      <c r="B662" s="243"/>
      <c r="C662" s="18" t="s">
        <v>945</v>
      </c>
      <c r="D662" s="16" t="s">
        <v>379</v>
      </c>
      <c r="E662" s="16" t="s">
        <v>19</v>
      </c>
      <c r="F662" s="107">
        <f t="shared" si="63"/>
        <v>650.346</v>
      </c>
      <c r="G662" s="107">
        <v>0</v>
      </c>
      <c r="H662" s="107">
        <f>596150.5/1000</f>
        <v>596.15049999999997</v>
      </c>
      <c r="I662" s="107">
        <f>54195.5/1000</f>
        <v>54.195500000000003</v>
      </c>
      <c r="J662" s="107">
        <v>0</v>
      </c>
      <c r="K662" s="39" t="s">
        <v>650</v>
      </c>
    </row>
    <row r="663" spans="1:11" s="49" customFormat="1" ht="26.4" x14ac:dyDescent="0.3">
      <c r="A663" s="16" t="s">
        <v>2603</v>
      </c>
      <c r="B663" s="243"/>
      <c r="C663" s="18" t="s">
        <v>946</v>
      </c>
      <c r="D663" s="16" t="s">
        <v>947</v>
      </c>
      <c r="E663" s="16" t="s">
        <v>19</v>
      </c>
      <c r="F663" s="107">
        <f t="shared" si="63"/>
        <v>226.69214000000002</v>
      </c>
      <c r="G663" s="107">
        <f>226692.14/1000</f>
        <v>226.69214000000002</v>
      </c>
      <c r="H663" s="107">
        <v>0</v>
      </c>
      <c r="I663" s="107">
        <v>0</v>
      </c>
      <c r="J663" s="107">
        <v>0</v>
      </c>
      <c r="K663" s="39" t="s">
        <v>143</v>
      </c>
    </row>
    <row r="664" spans="1:11" s="49" customFormat="1" ht="26.4" x14ac:dyDescent="0.3">
      <c r="A664" s="16" t="s">
        <v>2604</v>
      </c>
      <c r="B664" s="243"/>
      <c r="C664" s="18" t="s">
        <v>948</v>
      </c>
      <c r="D664" s="16" t="s">
        <v>949</v>
      </c>
      <c r="E664" s="16" t="s">
        <v>19</v>
      </c>
      <c r="F664" s="107">
        <f t="shared" si="63"/>
        <v>130.15689</v>
      </c>
      <c r="G664" s="107">
        <v>0</v>
      </c>
      <c r="H664" s="107">
        <f>130156.89/1000</f>
        <v>130.15689</v>
      </c>
      <c r="I664" s="107">
        <v>0</v>
      </c>
      <c r="J664" s="107">
        <v>0</v>
      </c>
      <c r="K664" s="39" t="s">
        <v>215</v>
      </c>
    </row>
    <row r="665" spans="1:11" s="49" customFormat="1" ht="26.4" x14ac:dyDescent="0.3">
      <c r="A665" s="16" t="s">
        <v>2605</v>
      </c>
      <c r="B665" s="243"/>
      <c r="C665" s="18" t="s">
        <v>950</v>
      </c>
      <c r="D665" s="16" t="s">
        <v>951</v>
      </c>
      <c r="E665" s="16" t="s">
        <v>19</v>
      </c>
      <c r="F665" s="107">
        <f>G665+H665+I665+J665</f>
        <v>123.28399</v>
      </c>
      <c r="G665" s="107">
        <v>0</v>
      </c>
      <c r="H665" s="107">
        <f>108350.66/1000</f>
        <v>108.35066</v>
      </c>
      <c r="I665" s="107">
        <f>14933.33/1000</f>
        <v>14.93333</v>
      </c>
      <c r="J665" s="107">
        <v>0</v>
      </c>
      <c r="K665" s="39" t="s">
        <v>190</v>
      </c>
    </row>
    <row r="666" spans="1:11" s="49" customFormat="1" ht="52.8" x14ac:dyDescent="0.3">
      <c r="A666" s="16" t="s">
        <v>2606</v>
      </c>
      <c r="B666" s="243"/>
      <c r="C666" s="18" t="s">
        <v>952</v>
      </c>
      <c r="D666" s="16" t="s">
        <v>953</v>
      </c>
      <c r="E666" s="16" t="s">
        <v>19</v>
      </c>
      <c r="F666" s="107">
        <f t="shared" si="63"/>
        <v>531.36</v>
      </c>
      <c r="G666" s="107">
        <v>0</v>
      </c>
      <c r="H666" s="107">
        <f>487080/1000</f>
        <v>487.08</v>
      </c>
      <c r="I666" s="107">
        <f>44280/1000</f>
        <v>44.28</v>
      </c>
      <c r="J666" s="107">
        <v>0</v>
      </c>
      <c r="K666" s="39" t="s">
        <v>190</v>
      </c>
    </row>
    <row r="667" spans="1:11" s="49" customFormat="1" ht="52.8" x14ac:dyDescent="0.3">
      <c r="A667" s="16" t="s">
        <v>2607</v>
      </c>
      <c r="B667" s="243"/>
      <c r="C667" s="18" t="s">
        <v>954</v>
      </c>
      <c r="D667" s="16" t="s">
        <v>955</v>
      </c>
      <c r="E667" s="16" t="s">
        <v>19</v>
      </c>
      <c r="F667" s="107">
        <f t="shared" si="63"/>
        <v>892.05000000000007</v>
      </c>
      <c r="G667" s="107">
        <v>0</v>
      </c>
      <c r="H667" s="107">
        <f>807100/1000</f>
        <v>807.1</v>
      </c>
      <c r="I667" s="107">
        <f>84950/1000</f>
        <v>84.95</v>
      </c>
      <c r="J667" s="107">
        <v>0</v>
      </c>
      <c r="K667" s="39" t="s">
        <v>215</v>
      </c>
    </row>
    <row r="668" spans="1:11" s="49" customFormat="1" ht="39.6" x14ac:dyDescent="0.3">
      <c r="A668" s="16" t="s">
        <v>2608</v>
      </c>
      <c r="B668" s="243"/>
      <c r="C668" s="18" t="s">
        <v>956</v>
      </c>
      <c r="D668" s="16" t="s">
        <v>957</v>
      </c>
      <c r="E668" s="16" t="s">
        <v>19</v>
      </c>
      <c r="F668" s="107">
        <f t="shared" si="63"/>
        <v>300</v>
      </c>
      <c r="G668" s="107">
        <v>0</v>
      </c>
      <c r="H668" s="107">
        <f>275000/1000</f>
        <v>275</v>
      </c>
      <c r="I668" s="107">
        <f>25000/1000</f>
        <v>25</v>
      </c>
      <c r="J668" s="107">
        <v>0</v>
      </c>
      <c r="K668" s="39" t="s">
        <v>215</v>
      </c>
    </row>
    <row r="669" spans="1:11" s="49" customFormat="1" ht="26.4" x14ac:dyDescent="0.3">
      <c r="A669" s="16" t="s">
        <v>2609</v>
      </c>
      <c r="B669" s="243"/>
      <c r="C669" s="18" t="s">
        <v>958</v>
      </c>
      <c r="D669" s="16" t="s">
        <v>959</v>
      </c>
      <c r="E669" s="16" t="s">
        <v>19</v>
      </c>
      <c r="F669" s="107">
        <f t="shared" si="63"/>
        <v>72</v>
      </c>
      <c r="G669" s="107">
        <v>0</v>
      </c>
      <c r="H669" s="107">
        <f>66000/1000</f>
        <v>66</v>
      </c>
      <c r="I669" s="107">
        <f>6000/1000</f>
        <v>6</v>
      </c>
      <c r="J669" s="107">
        <v>0</v>
      </c>
      <c r="K669" s="39" t="s">
        <v>190</v>
      </c>
    </row>
    <row r="670" spans="1:11" s="49" customFormat="1" ht="39.6" x14ac:dyDescent="0.3">
      <c r="A670" s="16" t="s">
        <v>2610</v>
      </c>
      <c r="B670" s="243"/>
      <c r="C670" s="18" t="s">
        <v>960</v>
      </c>
      <c r="D670" s="16" t="s">
        <v>961</v>
      </c>
      <c r="E670" s="16" t="s">
        <v>19</v>
      </c>
      <c r="F670" s="107">
        <f>G670+H670+I670+J670</f>
        <v>921.61677999999995</v>
      </c>
      <c r="G670" s="107">
        <v>0</v>
      </c>
      <c r="H670" s="107">
        <f>856083.44/1000</f>
        <v>856.08344</v>
      </c>
      <c r="I670" s="107">
        <f>65533.34/1000</f>
        <v>65.533339999999995</v>
      </c>
      <c r="J670" s="107">
        <v>0</v>
      </c>
      <c r="K670" s="39" t="s">
        <v>847</v>
      </c>
    </row>
    <row r="671" spans="1:11" s="49" customFormat="1" ht="39.6" x14ac:dyDescent="0.3">
      <c r="A671" s="16" t="s">
        <v>2611</v>
      </c>
      <c r="B671" s="243"/>
      <c r="C671" s="18" t="s">
        <v>962</v>
      </c>
      <c r="D671" s="16" t="s">
        <v>963</v>
      </c>
      <c r="E671" s="16" t="s">
        <v>19</v>
      </c>
      <c r="F671" s="107">
        <f t="shared" si="63"/>
        <v>935</v>
      </c>
      <c r="G671" s="107">
        <v>0</v>
      </c>
      <c r="H671" s="107">
        <f>850000/1000</f>
        <v>850</v>
      </c>
      <c r="I671" s="107">
        <f>85000/1000</f>
        <v>85</v>
      </c>
      <c r="J671" s="107">
        <v>0</v>
      </c>
      <c r="K671" s="39" t="s">
        <v>847</v>
      </c>
    </row>
    <row r="672" spans="1:11" s="49" customFormat="1" ht="48" customHeight="1" x14ac:dyDescent="0.3">
      <c r="A672" s="16" t="s">
        <v>2612</v>
      </c>
      <c r="B672" s="243"/>
      <c r="C672" s="18" t="s">
        <v>964</v>
      </c>
      <c r="D672" s="16" t="s">
        <v>965</v>
      </c>
      <c r="E672" s="16" t="s">
        <v>19</v>
      </c>
      <c r="F672" s="107">
        <f t="shared" si="63"/>
        <v>67.180019999999999</v>
      </c>
      <c r="G672" s="107">
        <f>67180.02/1000</f>
        <v>67.180019999999999</v>
      </c>
      <c r="H672" s="107">
        <v>0</v>
      </c>
      <c r="I672" s="107">
        <v>0</v>
      </c>
      <c r="J672" s="107">
        <v>0</v>
      </c>
      <c r="K672" s="39" t="s">
        <v>310</v>
      </c>
    </row>
    <row r="673" spans="1:12" s="49" customFormat="1" ht="52.8" x14ac:dyDescent="0.3">
      <c r="A673" s="16" t="s">
        <v>2613</v>
      </c>
      <c r="B673" s="243"/>
      <c r="C673" s="18" t="s">
        <v>966</v>
      </c>
      <c r="D673" s="16" t="s">
        <v>967</v>
      </c>
      <c r="E673" s="16" t="s">
        <v>19</v>
      </c>
      <c r="F673" s="107">
        <f t="shared" si="63"/>
        <v>1082.4833500000002</v>
      </c>
      <c r="G673" s="107">
        <f>1082483.35/1000</f>
        <v>1082.4833500000002</v>
      </c>
      <c r="H673" s="107">
        <v>0</v>
      </c>
      <c r="I673" s="107">
        <v>0</v>
      </c>
      <c r="J673" s="107">
        <v>0</v>
      </c>
      <c r="K673" s="39" t="s">
        <v>185</v>
      </c>
    </row>
    <row r="674" spans="1:12" s="49" customFormat="1" ht="39.6" x14ac:dyDescent="0.3">
      <c r="A674" s="16" t="s">
        <v>2614</v>
      </c>
      <c r="B674" s="243"/>
      <c r="C674" s="18" t="s">
        <v>968</v>
      </c>
      <c r="D674" s="16" t="s">
        <v>969</v>
      </c>
      <c r="E674" s="16" t="s">
        <v>19</v>
      </c>
      <c r="F674" s="107">
        <f>G674+H674+I674+J674</f>
        <v>308.84511999999995</v>
      </c>
      <c r="G674" s="107">
        <v>0</v>
      </c>
      <c r="H674" s="107">
        <f>283108.04/1000</f>
        <v>283.10803999999996</v>
      </c>
      <c r="I674" s="107">
        <f>25737.08/1000</f>
        <v>25.737080000000002</v>
      </c>
      <c r="J674" s="107">
        <v>0</v>
      </c>
      <c r="K674" s="39" t="s">
        <v>650</v>
      </c>
    </row>
    <row r="675" spans="1:12" s="49" customFormat="1" ht="39.6" x14ac:dyDescent="0.3">
      <c r="A675" s="16" t="s">
        <v>2615</v>
      </c>
      <c r="B675" s="243"/>
      <c r="C675" s="18" t="s">
        <v>970</v>
      </c>
      <c r="D675" s="16" t="s">
        <v>971</v>
      </c>
      <c r="E675" s="16" t="s">
        <v>19</v>
      </c>
      <c r="F675" s="107">
        <f t="shared" si="63"/>
        <v>873.10534999999993</v>
      </c>
      <c r="G675" s="107">
        <f>873105.35/1000</f>
        <v>873.10534999999993</v>
      </c>
      <c r="H675" s="107">
        <v>0</v>
      </c>
      <c r="I675" s="107">
        <v>0</v>
      </c>
      <c r="J675" s="107">
        <v>0</v>
      </c>
      <c r="K675" s="39" t="s">
        <v>143</v>
      </c>
    </row>
    <row r="676" spans="1:12" s="49" customFormat="1" ht="39.6" x14ac:dyDescent="0.3">
      <c r="A676" s="16" t="s">
        <v>2616</v>
      </c>
      <c r="B676" s="243"/>
      <c r="C676" s="18" t="s">
        <v>972</v>
      </c>
      <c r="D676" s="16" t="s">
        <v>971</v>
      </c>
      <c r="E676" s="16" t="s">
        <v>19</v>
      </c>
      <c r="F676" s="107">
        <f t="shared" si="63"/>
        <v>873.10534999999993</v>
      </c>
      <c r="G676" s="107">
        <v>0</v>
      </c>
      <c r="H676" s="107">
        <f>873105.35/1000</f>
        <v>873.10534999999993</v>
      </c>
      <c r="I676" s="107">
        <v>0</v>
      </c>
      <c r="J676" s="107">
        <v>0</v>
      </c>
      <c r="K676" s="39" t="s">
        <v>847</v>
      </c>
    </row>
    <row r="677" spans="1:12" s="49" customFormat="1" ht="66" x14ac:dyDescent="0.3">
      <c r="A677" s="16" t="s">
        <v>2617</v>
      </c>
      <c r="B677" s="243"/>
      <c r="C677" s="18" t="s">
        <v>973</v>
      </c>
      <c r="D677" s="16" t="s">
        <v>974</v>
      </c>
      <c r="E677" s="16" t="s">
        <v>19</v>
      </c>
      <c r="F677" s="107">
        <f t="shared" si="63"/>
        <v>870.53567999999996</v>
      </c>
      <c r="G677" s="107">
        <v>0</v>
      </c>
      <c r="H677" s="107">
        <f>797991.04/1000</f>
        <v>797.99104</v>
      </c>
      <c r="I677" s="107">
        <f>72544.64/1000</f>
        <v>72.544640000000001</v>
      </c>
      <c r="J677" s="107">
        <v>0</v>
      </c>
      <c r="K677" s="39" t="s">
        <v>847</v>
      </c>
    </row>
    <row r="678" spans="1:12" s="49" customFormat="1" ht="26.4" x14ac:dyDescent="0.3">
      <c r="A678" s="16" t="s">
        <v>2618</v>
      </c>
      <c r="B678" s="243"/>
      <c r="C678" s="18" t="s">
        <v>975</v>
      </c>
      <c r="D678" s="16" t="s">
        <v>381</v>
      </c>
      <c r="E678" s="16" t="s">
        <v>19</v>
      </c>
      <c r="F678" s="107">
        <f t="shared" si="63"/>
        <v>376.82639999999998</v>
      </c>
      <c r="G678" s="107">
        <v>0</v>
      </c>
      <c r="H678" s="107">
        <f>345424.2/1000</f>
        <v>345.42419999999998</v>
      </c>
      <c r="I678" s="107">
        <f>31402.2/1000</f>
        <v>31.402200000000001</v>
      </c>
      <c r="J678" s="107">
        <v>0</v>
      </c>
      <c r="K678" s="39" t="s">
        <v>277</v>
      </c>
    </row>
    <row r="679" spans="1:12" s="49" customFormat="1" ht="52.8" x14ac:dyDescent="0.3">
      <c r="A679" s="16" t="s">
        <v>2619</v>
      </c>
      <c r="B679" s="243"/>
      <c r="C679" s="18" t="s">
        <v>976</v>
      </c>
      <c r="D679" s="16" t="s">
        <v>977</v>
      </c>
      <c r="E679" s="16" t="s">
        <v>19</v>
      </c>
      <c r="F679" s="107">
        <f>G679+H679+I679+J679</f>
        <v>6000</v>
      </c>
      <c r="G679" s="107">
        <f>3776095.39/1000</f>
        <v>3776.09539</v>
      </c>
      <c r="H679" s="107">
        <f>2223904.61/1000</f>
        <v>2223.90461</v>
      </c>
      <c r="I679" s="107">
        <v>0</v>
      </c>
      <c r="J679" s="107">
        <v>0</v>
      </c>
      <c r="K679" s="39" t="s">
        <v>143</v>
      </c>
    </row>
    <row r="680" spans="1:12" s="49" customFormat="1" ht="26.4" x14ac:dyDescent="0.3">
      <c r="A680" s="16" t="s">
        <v>2620</v>
      </c>
      <c r="B680" s="243"/>
      <c r="C680" s="18" t="s">
        <v>978</v>
      </c>
      <c r="D680" s="16" t="s">
        <v>137</v>
      </c>
      <c r="E680" s="16" t="s">
        <v>19</v>
      </c>
      <c r="F680" s="107">
        <f t="shared" si="63"/>
        <v>138.56476000000001</v>
      </c>
      <c r="G680" s="107">
        <f>138564.76/1000</f>
        <v>138.56476000000001</v>
      </c>
      <c r="H680" s="107">
        <v>0</v>
      </c>
      <c r="I680" s="107">
        <v>0</v>
      </c>
      <c r="J680" s="107">
        <v>0</v>
      </c>
      <c r="K680" s="39" t="s">
        <v>310</v>
      </c>
    </row>
    <row r="681" spans="1:12" s="49" customFormat="1" ht="52.8" x14ac:dyDescent="0.3">
      <c r="A681" s="16" t="s">
        <v>2621</v>
      </c>
      <c r="B681" s="243"/>
      <c r="C681" s="18" t="s">
        <v>979</v>
      </c>
      <c r="D681" s="16" t="s">
        <v>980</v>
      </c>
      <c r="E681" s="16" t="s">
        <v>695</v>
      </c>
      <c r="F681" s="107">
        <f t="shared" si="63"/>
        <v>2400</v>
      </c>
      <c r="G681" s="107">
        <v>0</v>
      </c>
      <c r="H681" s="107">
        <f>2200000/1000</f>
        <v>2200</v>
      </c>
      <c r="I681" s="107">
        <f>200000/1000</f>
        <v>200</v>
      </c>
      <c r="J681" s="107">
        <v>0</v>
      </c>
      <c r="K681" s="39" t="s">
        <v>923</v>
      </c>
    </row>
    <row r="682" spans="1:12" s="49" customFormat="1" ht="52.8" x14ac:dyDescent="0.3">
      <c r="A682" s="16" t="s">
        <v>2622</v>
      </c>
      <c r="B682" s="244"/>
      <c r="C682" s="18" t="s">
        <v>981</v>
      </c>
      <c r="D682" s="16" t="s">
        <v>980</v>
      </c>
      <c r="E682" s="16" t="s">
        <v>695</v>
      </c>
      <c r="F682" s="107">
        <f t="shared" si="63"/>
        <v>2400</v>
      </c>
      <c r="G682" s="107">
        <f>2200000/1000</f>
        <v>2200</v>
      </c>
      <c r="H682" s="107">
        <f>200000/1000</f>
        <v>200</v>
      </c>
      <c r="I682" s="107">
        <v>0</v>
      </c>
      <c r="J682" s="107">
        <v>0</v>
      </c>
      <c r="K682" s="39" t="s">
        <v>310</v>
      </c>
    </row>
    <row r="683" spans="1:12" s="32" customFormat="1" ht="28.2" customHeight="1" x14ac:dyDescent="0.3">
      <c r="A683" s="250" t="s">
        <v>1052</v>
      </c>
      <c r="B683" s="251"/>
      <c r="C683" s="252"/>
      <c r="D683" s="34"/>
      <c r="E683" s="34"/>
      <c r="F683" s="202">
        <f>SUM(F622:F682)</f>
        <v>86743.081389999992</v>
      </c>
      <c r="G683" s="202">
        <f t="shared" ref="G683:I683" si="64">SUM(G622:G682)</f>
        <v>68507.037089999998</v>
      </c>
      <c r="H683" s="202">
        <f t="shared" si="64"/>
        <v>17092.48717</v>
      </c>
      <c r="I683" s="202">
        <f t="shared" si="64"/>
        <v>1143.5571299999999</v>
      </c>
      <c r="J683" s="134">
        <f>SUM(J622:J682)</f>
        <v>0</v>
      </c>
      <c r="K683" s="31"/>
      <c r="L683" s="58"/>
    </row>
    <row r="684" spans="1:12" s="49" customFormat="1" ht="26.4" x14ac:dyDescent="0.3">
      <c r="A684" s="16" t="s">
        <v>2623</v>
      </c>
      <c r="B684" s="242" t="s">
        <v>867</v>
      </c>
      <c r="C684" s="18" t="s">
        <v>982</v>
      </c>
      <c r="D684" s="16" t="s">
        <v>869</v>
      </c>
      <c r="E684" s="16" t="s">
        <v>19</v>
      </c>
      <c r="F684" s="107">
        <f>G684+H684+I684+J684</f>
        <v>1821.7622099999999</v>
      </c>
      <c r="G684" s="107">
        <v>0</v>
      </c>
      <c r="H684" s="107">
        <f>1821762.21/1000</f>
        <v>1821.7622099999999</v>
      </c>
      <c r="I684" s="107">
        <v>0</v>
      </c>
      <c r="J684" s="107">
        <v>0</v>
      </c>
      <c r="K684" s="39" t="s">
        <v>201</v>
      </c>
    </row>
    <row r="685" spans="1:12" s="49" customFormat="1" ht="26.4" x14ac:dyDescent="0.3">
      <c r="A685" s="16" t="s">
        <v>2624</v>
      </c>
      <c r="B685" s="243"/>
      <c r="C685" s="18" t="s">
        <v>983</v>
      </c>
      <c r="D685" s="16" t="s">
        <v>871</v>
      </c>
      <c r="E685" s="16" t="s">
        <v>19</v>
      </c>
      <c r="F685" s="107">
        <f t="shared" ref="F685:F724" si="65">G685+H685+I685+J685</f>
        <v>971.85617000000002</v>
      </c>
      <c r="G685" s="107">
        <v>0</v>
      </c>
      <c r="H685" s="107">
        <f>971856.17/1000</f>
        <v>971.85617000000002</v>
      </c>
      <c r="I685" s="107">
        <v>0</v>
      </c>
      <c r="J685" s="107">
        <v>0</v>
      </c>
      <c r="K685" s="39" t="s">
        <v>196</v>
      </c>
    </row>
    <row r="686" spans="1:12" s="49" customFormat="1" ht="26.4" x14ac:dyDescent="0.3">
      <c r="A686" s="16" t="s">
        <v>2625</v>
      </c>
      <c r="B686" s="243"/>
      <c r="C686" s="18" t="s">
        <v>984</v>
      </c>
      <c r="D686" s="16" t="s">
        <v>873</v>
      </c>
      <c r="E686" s="16" t="s">
        <v>19</v>
      </c>
      <c r="F686" s="107">
        <f t="shared" si="65"/>
        <v>1675.3961899999999</v>
      </c>
      <c r="G686" s="107">
        <v>0</v>
      </c>
      <c r="H686" s="107">
        <f>1675396.19/1000</f>
        <v>1675.3961899999999</v>
      </c>
      <c r="I686" s="107">
        <v>0</v>
      </c>
      <c r="J686" s="107">
        <v>0</v>
      </c>
      <c r="K686" s="39" t="s">
        <v>196</v>
      </c>
    </row>
    <row r="687" spans="1:12" s="49" customFormat="1" ht="26.4" x14ac:dyDescent="0.3">
      <c r="A687" s="16" t="s">
        <v>2626</v>
      </c>
      <c r="B687" s="243"/>
      <c r="C687" s="18" t="s">
        <v>985</v>
      </c>
      <c r="D687" s="16" t="s">
        <v>875</v>
      </c>
      <c r="E687" s="16" t="s">
        <v>19</v>
      </c>
      <c r="F687" s="107">
        <f t="shared" si="65"/>
        <v>914.01291000000003</v>
      </c>
      <c r="G687" s="107">
        <v>0</v>
      </c>
      <c r="H687" s="107">
        <f>914012.91/1000</f>
        <v>914.01291000000003</v>
      </c>
      <c r="I687" s="107">
        <v>0</v>
      </c>
      <c r="J687" s="107">
        <v>0</v>
      </c>
      <c r="K687" s="39" t="s">
        <v>201</v>
      </c>
    </row>
    <row r="688" spans="1:12" s="49" customFormat="1" ht="26.4" x14ac:dyDescent="0.3">
      <c r="A688" s="16" t="s">
        <v>2627</v>
      </c>
      <c r="B688" s="243"/>
      <c r="C688" s="18" t="s">
        <v>986</v>
      </c>
      <c r="D688" s="16" t="s">
        <v>591</v>
      </c>
      <c r="E688" s="16" t="s">
        <v>19</v>
      </c>
      <c r="F688" s="107">
        <f t="shared" si="65"/>
        <v>2190.3897000000002</v>
      </c>
      <c r="G688" s="107">
        <v>0</v>
      </c>
      <c r="H688" s="107">
        <f>2190389.7/1000</f>
        <v>2190.3897000000002</v>
      </c>
      <c r="I688" s="107">
        <v>0</v>
      </c>
      <c r="J688" s="107">
        <v>0</v>
      </c>
      <c r="K688" s="39" t="s">
        <v>987</v>
      </c>
    </row>
    <row r="689" spans="1:11" s="49" customFormat="1" ht="26.4" x14ac:dyDescent="0.3">
      <c r="A689" s="16" t="s">
        <v>2628</v>
      </c>
      <c r="B689" s="243"/>
      <c r="C689" s="18" t="s">
        <v>988</v>
      </c>
      <c r="D689" s="16" t="s">
        <v>880</v>
      </c>
      <c r="E689" s="16" t="s">
        <v>19</v>
      </c>
      <c r="F689" s="107">
        <f t="shared" si="65"/>
        <v>904.32905000000005</v>
      </c>
      <c r="G689" s="107">
        <v>0</v>
      </c>
      <c r="H689" s="107">
        <f>904329.05/1000</f>
        <v>904.32905000000005</v>
      </c>
      <c r="I689" s="107">
        <v>0</v>
      </c>
      <c r="J689" s="107">
        <v>0</v>
      </c>
      <c r="K689" s="39" t="s">
        <v>156</v>
      </c>
    </row>
    <row r="690" spans="1:11" s="49" customFormat="1" ht="26.4" x14ac:dyDescent="0.3">
      <c r="A690" s="16" t="s">
        <v>2629</v>
      </c>
      <c r="B690" s="243"/>
      <c r="C690" s="18" t="s">
        <v>989</v>
      </c>
      <c r="D690" s="16" t="s">
        <v>882</v>
      </c>
      <c r="E690" s="16" t="s">
        <v>19</v>
      </c>
      <c r="F690" s="107">
        <f t="shared" si="65"/>
        <v>174.73464000000001</v>
      </c>
      <c r="G690" s="107">
        <v>0</v>
      </c>
      <c r="H690" s="107">
        <f>174734.64/1000</f>
        <v>174.73464000000001</v>
      </c>
      <c r="I690" s="107">
        <v>0</v>
      </c>
      <c r="J690" s="107">
        <v>0</v>
      </c>
      <c r="K690" s="39" t="s">
        <v>196</v>
      </c>
    </row>
    <row r="691" spans="1:11" s="49" customFormat="1" ht="26.4" x14ac:dyDescent="0.3">
      <c r="A691" s="16" t="s">
        <v>2630</v>
      </c>
      <c r="B691" s="243"/>
      <c r="C691" s="18" t="s">
        <v>990</v>
      </c>
      <c r="D691" s="16" t="s">
        <v>884</v>
      </c>
      <c r="E691" s="16" t="s">
        <v>19</v>
      </c>
      <c r="F691" s="107">
        <f t="shared" si="65"/>
        <v>697.97309999999993</v>
      </c>
      <c r="G691" s="107">
        <v>0</v>
      </c>
      <c r="H691" s="107">
        <f>697973.1/1000</f>
        <v>697.97309999999993</v>
      </c>
      <c r="I691" s="107">
        <v>0</v>
      </c>
      <c r="J691" s="107">
        <v>0</v>
      </c>
      <c r="K691" s="39" t="s">
        <v>201</v>
      </c>
    </row>
    <row r="692" spans="1:11" s="49" customFormat="1" ht="26.4" x14ac:dyDescent="0.3">
      <c r="A692" s="16" t="s">
        <v>2631</v>
      </c>
      <c r="B692" s="243"/>
      <c r="C692" s="18" t="s">
        <v>991</v>
      </c>
      <c r="D692" s="16" t="s">
        <v>878</v>
      </c>
      <c r="E692" s="16" t="s">
        <v>19</v>
      </c>
      <c r="F692" s="107">
        <f t="shared" si="65"/>
        <v>78.58</v>
      </c>
      <c r="G692" s="107">
        <v>0</v>
      </c>
      <c r="H692" s="107">
        <f>78580/1000</f>
        <v>78.58</v>
      </c>
      <c r="I692" s="107">
        <v>0</v>
      </c>
      <c r="J692" s="107">
        <v>0</v>
      </c>
      <c r="K692" s="39" t="s">
        <v>156</v>
      </c>
    </row>
    <row r="693" spans="1:11" s="49" customFormat="1" ht="26.4" x14ac:dyDescent="0.3">
      <c r="A693" s="16" t="s">
        <v>2632</v>
      </c>
      <c r="B693" s="243"/>
      <c r="C693" s="18" t="s">
        <v>992</v>
      </c>
      <c r="D693" s="16" t="s">
        <v>892</v>
      </c>
      <c r="E693" s="16" t="s">
        <v>19</v>
      </c>
      <c r="F693" s="107">
        <f t="shared" si="65"/>
        <v>500</v>
      </c>
      <c r="G693" s="107">
        <v>0</v>
      </c>
      <c r="H693" s="107">
        <f>500000/1000</f>
        <v>500</v>
      </c>
      <c r="I693" s="107">
        <v>0</v>
      </c>
      <c r="J693" s="107">
        <v>0</v>
      </c>
      <c r="K693" s="39" t="s">
        <v>987</v>
      </c>
    </row>
    <row r="694" spans="1:11" s="49" customFormat="1" ht="26.4" x14ac:dyDescent="0.3">
      <c r="A694" s="16" t="s">
        <v>2633</v>
      </c>
      <c r="B694" s="243"/>
      <c r="C694" s="18" t="s">
        <v>993</v>
      </c>
      <c r="D694" s="16" t="s">
        <v>899</v>
      </c>
      <c r="E694" s="16" t="s">
        <v>19</v>
      </c>
      <c r="F694" s="107">
        <f>G694+H694+I694+J694</f>
        <v>500</v>
      </c>
      <c r="G694" s="107">
        <v>0</v>
      </c>
      <c r="H694" s="107">
        <f>500000/1000</f>
        <v>500</v>
      </c>
      <c r="I694" s="107">
        <v>0</v>
      </c>
      <c r="J694" s="107">
        <v>0</v>
      </c>
      <c r="K694" s="39" t="s">
        <v>987</v>
      </c>
    </row>
    <row r="695" spans="1:11" s="49" customFormat="1" ht="39.6" x14ac:dyDescent="0.3">
      <c r="A695" s="16" t="s">
        <v>2634</v>
      </c>
      <c r="B695" s="243"/>
      <c r="C695" s="18" t="s">
        <v>994</v>
      </c>
      <c r="D695" s="16" t="s">
        <v>911</v>
      </c>
      <c r="E695" s="16" t="s">
        <v>19</v>
      </c>
      <c r="F695" s="107">
        <f t="shared" si="65"/>
        <v>648.85996</v>
      </c>
      <c r="G695" s="107">
        <v>0</v>
      </c>
      <c r="H695" s="107">
        <f>648859.96/1000</f>
        <v>648.85996</v>
      </c>
      <c r="I695" s="107">
        <v>0</v>
      </c>
      <c r="J695" s="107">
        <v>0</v>
      </c>
      <c r="K695" s="39" t="s">
        <v>995</v>
      </c>
    </row>
    <row r="696" spans="1:11" s="49" customFormat="1" ht="26.4" x14ac:dyDescent="0.3">
      <c r="A696" s="16" t="s">
        <v>2635</v>
      </c>
      <c r="B696" s="243"/>
      <c r="C696" s="18" t="s">
        <v>996</v>
      </c>
      <c r="D696" s="16" t="s">
        <v>913</v>
      </c>
      <c r="E696" s="16" t="s">
        <v>19</v>
      </c>
      <c r="F696" s="107">
        <f t="shared" si="65"/>
        <v>19081.399399999998</v>
      </c>
      <c r="G696" s="107">
        <v>0</v>
      </c>
      <c r="H696" s="107">
        <f>19081399.4/1000</f>
        <v>19081.399399999998</v>
      </c>
      <c r="I696" s="107">
        <v>0</v>
      </c>
      <c r="J696" s="107">
        <v>0</v>
      </c>
      <c r="K696" s="39" t="s">
        <v>156</v>
      </c>
    </row>
    <row r="697" spans="1:11" s="49" customFormat="1" ht="26.4" x14ac:dyDescent="0.3">
      <c r="A697" s="16" t="s">
        <v>2636</v>
      </c>
      <c r="B697" s="243"/>
      <c r="C697" s="18" t="s">
        <v>997</v>
      </c>
      <c r="D697" s="16" t="s">
        <v>917</v>
      </c>
      <c r="E697" s="16" t="s">
        <v>19</v>
      </c>
      <c r="F697" s="107">
        <f t="shared" si="65"/>
        <v>916.66668000000004</v>
      </c>
      <c r="G697" s="107">
        <v>0</v>
      </c>
      <c r="H697" s="107">
        <v>0</v>
      </c>
      <c r="I697" s="107">
        <f>916666.68/1000</f>
        <v>916.66668000000004</v>
      </c>
      <c r="J697" s="107">
        <v>0</v>
      </c>
      <c r="K697" s="39" t="s">
        <v>998</v>
      </c>
    </row>
    <row r="698" spans="1:11" s="49" customFormat="1" ht="26.4" x14ac:dyDescent="0.3">
      <c r="A698" s="16" t="s">
        <v>2637</v>
      </c>
      <c r="B698" s="243"/>
      <c r="C698" s="18" t="s">
        <v>999</v>
      </c>
      <c r="D698" s="16" t="s">
        <v>137</v>
      </c>
      <c r="E698" s="16" t="s">
        <v>19</v>
      </c>
      <c r="F698" s="107">
        <f t="shared" si="65"/>
        <v>982.72735</v>
      </c>
      <c r="G698" s="107">
        <v>0</v>
      </c>
      <c r="H698" s="107">
        <v>0</v>
      </c>
      <c r="I698" s="107">
        <f>982727.35/1000</f>
        <v>982.72735</v>
      </c>
      <c r="J698" s="107">
        <v>0</v>
      </c>
      <c r="K698" s="39" t="s">
        <v>1000</v>
      </c>
    </row>
    <row r="699" spans="1:11" s="49" customFormat="1" ht="26.4" x14ac:dyDescent="0.3">
      <c r="A699" s="16" t="s">
        <v>2638</v>
      </c>
      <c r="B699" s="243"/>
      <c r="C699" s="18" t="s">
        <v>1001</v>
      </c>
      <c r="D699" s="16" t="s">
        <v>920</v>
      </c>
      <c r="E699" s="16" t="s">
        <v>19</v>
      </c>
      <c r="F699" s="107">
        <f t="shared" si="65"/>
        <v>152.09811999999999</v>
      </c>
      <c r="G699" s="107">
        <v>0</v>
      </c>
      <c r="H699" s="107">
        <f>152098.12/1000</f>
        <v>152.09811999999999</v>
      </c>
      <c r="I699" s="107">
        <v>0</v>
      </c>
      <c r="J699" s="107">
        <v>0</v>
      </c>
      <c r="K699" s="39" t="s">
        <v>196</v>
      </c>
    </row>
    <row r="700" spans="1:11" s="49" customFormat="1" ht="52.8" x14ac:dyDescent="0.3">
      <c r="A700" s="16" t="s">
        <v>2639</v>
      </c>
      <c r="B700" s="243"/>
      <c r="C700" s="18" t="s">
        <v>1002</v>
      </c>
      <c r="D700" s="16" t="s">
        <v>922</v>
      </c>
      <c r="E700" s="16" t="s">
        <v>19</v>
      </c>
      <c r="F700" s="107">
        <f t="shared" si="65"/>
        <v>195.82002</v>
      </c>
      <c r="G700" s="107">
        <v>0</v>
      </c>
      <c r="H700" s="107">
        <v>0</v>
      </c>
      <c r="I700" s="107">
        <f>195820.02/1000</f>
        <v>195.82002</v>
      </c>
      <c r="J700" s="107">
        <v>0</v>
      </c>
      <c r="K700" s="39" t="s">
        <v>998</v>
      </c>
    </row>
    <row r="701" spans="1:11" s="49" customFormat="1" ht="39.6" x14ac:dyDescent="0.3">
      <c r="A701" s="16" t="s">
        <v>2640</v>
      </c>
      <c r="B701" s="243"/>
      <c r="C701" s="18" t="s">
        <v>1003</v>
      </c>
      <c r="D701" s="16" t="s">
        <v>925</v>
      </c>
      <c r="E701" s="16" t="s">
        <v>19</v>
      </c>
      <c r="F701" s="107">
        <f>G701+H701+I701+J701</f>
        <v>85.25</v>
      </c>
      <c r="G701" s="107">
        <v>0</v>
      </c>
      <c r="H701" s="107">
        <v>0</v>
      </c>
      <c r="I701" s="107">
        <f>85250/1000</f>
        <v>85.25</v>
      </c>
      <c r="J701" s="107">
        <v>0</v>
      </c>
      <c r="K701" s="39" t="s">
        <v>156</v>
      </c>
    </row>
    <row r="702" spans="1:11" s="49" customFormat="1" ht="26.4" x14ac:dyDescent="0.3">
      <c r="A702" s="16" t="s">
        <v>2641</v>
      </c>
      <c r="B702" s="243"/>
      <c r="C702" s="18" t="s">
        <v>1004</v>
      </c>
      <c r="D702" s="16" t="s">
        <v>935</v>
      </c>
      <c r="E702" s="16" t="s">
        <v>19</v>
      </c>
      <c r="F702" s="107">
        <f t="shared" si="65"/>
        <v>670.43819999999994</v>
      </c>
      <c r="G702" s="107">
        <v>0</v>
      </c>
      <c r="H702" s="107">
        <v>0</v>
      </c>
      <c r="I702" s="107">
        <f>670438.2/1000</f>
        <v>670.43819999999994</v>
      </c>
      <c r="J702" s="107">
        <v>0</v>
      </c>
      <c r="K702" s="39" t="s">
        <v>196</v>
      </c>
    </row>
    <row r="703" spans="1:11" s="49" customFormat="1" ht="26.4" x14ac:dyDescent="0.3">
      <c r="A703" s="16" t="s">
        <v>2642</v>
      </c>
      <c r="B703" s="243"/>
      <c r="C703" s="18" t="s">
        <v>1005</v>
      </c>
      <c r="D703" s="16" t="s">
        <v>1006</v>
      </c>
      <c r="E703" s="16" t="s">
        <v>19</v>
      </c>
      <c r="F703" s="107">
        <f t="shared" si="65"/>
        <v>981.71579000000008</v>
      </c>
      <c r="G703" s="107">
        <v>0</v>
      </c>
      <c r="H703" s="107">
        <f>981715.79/1000</f>
        <v>981.71579000000008</v>
      </c>
      <c r="I703" s="107">
        <v>0</v>
      </c>
      <c r="J703" s="107">
        <v>0</v>
      </c>
      <c r="K703" s="39" t="s">
        <v>196</v>
      </c>
    </row>
    <row r="704" spans="1:11" s="49" customFormat="1" ht="39.6" x14ac:dyDescent="0.3">
      <c r="A704" s="16" t="s">
        <v>2643</v>
      </c>
      <c r="B704" s="243"/>
      <c r="C704" s="18" t="s">
        <v>1007</v>
      </c>
      <c r="D704" s="16" t="s">
        <v>940</v>
      </c>
      <c r="E704" s="16" t="s">
        <v>19</v>
      </c>
      <c r="F704" s="107">
        <f t="shared" si="65"/>
        <v>803.25227000000007</v>
      </c>
      <c r="G704" s="107">
        <v>0</v>
      </c>
      <c r="H704" s="107">
        <f>39577.73/1000</f>
        <v>39.577730000000003</v>
      </c>
      <c r="I704" s="107">
        <f>763674.54/1000</f>
        <v>763.67454000000009</v>
      </c>
      <c r="J704" s="107">
        <v>0</v>
      </c>
      <c r="K704" s="39" t="s">
        <v>1008</v>
      </c>
    </row>
    <row r="705" spans="1:11" s="49" customFormat="1" ht="26.4" x14ac:dyDescent="0.3">
      <c r="A705" s="16" t="s">
        <v>2644</v>
      </c>
      <c r="B705" s="243"/>
      <c r="C705" s="18" t="s">
        <v>1009</v>
      </c>
      <c r="D705" s="16" t="s">
        <v>942</v>
      </c>
      <c r="E705" s="16" t="s">
        <v>19</v>
      </c>
      <c r="F705" s="107">
        <f t="shared" si="65"/>
        <v>1974.84159</v>
      </c>
      <c r="G705" s="107">
        <v>0</v>
      </c>
      <c r="H705" s="107">
        <v>0</v>
      </c>
      <c r="I705" s="107">
        <f>1974841.59/1000</f>
        <v>1974.84159</v>
      </c>
      <c r="J705" s="107">
        <v>0</v>
      </c>
      <c r="K705" s="39" t="s">
        <v>1008</v>
      </c>
    </row>
    <row r="706" spans="1:11" s="49" customFormat="1" ht="26.4" x14ac:dyDescent="0.3">
      <c r="A706" s="16" t="s">
        <v>2645</v>
      </c>
      <c r="B706" s="243"/>
      <c r="C706" s="18" t="s">
        <v>1010</v>
      </c>
      <c r="D706" s="16" t="s">
        <v>944</v>
      </c>
      <c r="E706" s="16" t="s">
        <v>19</v>
      </c>
      <c r="F706" s="107">
        <f t="shared" si="65"/>
        <v>927.51841999999999</v>
      </c>
      <c r="G706" s="107">
        <v>0</v>
      </c>
      <c r="H706" s="107">
        <v>0</v>
      </c>
      <c r="I706" s="107">
        <f>927518.42/1000</f>
        <v>927.51841999999999</v>
      </c>
      <c r="J706" s="107">
        <v>0</v>
      </c>
      <c r="K706" s="39" t="s">
        <v>1000</v>
      </c>
    </row>
    <row r="707" spans="1:11" s="49" customFormat="1" ht="66" x14ac:dyDescent="0.3">
      <c r="A707" s="16" t="s">
        <v>2646</v>
      </c>
      <c r="B707" s="243"/>
      <c r="C707" s="18" t="s">
        <v>1011</v>
      </c>
      <c r="D707" s="16" t="s">
        <v>379</v>
      </c>
      <c r="E707" s="16" t="s">
        <v>19</v>
      </c>
      <c r="F707" s="107">
        <f>G707+H707+I707+J707</f>
        <v>596.15049999999997</v>
      </c>
      <c r="G707" s="107">
        <v>0</v>
      </c>
      <c r="H707" s="107">
        <v>0</v>
      </c>
      <c r="I707" s="107">
        <f>596150.5/1000</f>
        <v>596.15049999999997</v>
      </c>
      <c r="J707" s="107">
        <v>0</v>
      </c>
      <c r="K707" s="39" t="s">
        <v>233</v>
      </c>
    </row>
    <row r="708" spans="1:11" s="49" customFormat="1" ht="26.4" x14ac:dyDescent="0.3">
      <c r="A708" s="16" t="s">
        <v>2647</v>
      </c>
      <c r="B708" s="243"/>
      <c r="C708" s="18" t="s">
        <v>1012</v>
      </c>
      <c r="D708" s="16" t="s">
        <v>947</v>
      </c>
      <c r="E708" s="16" t="s">
        <v>19</v>
      </c>
      <c r="F708" s="107">
        <f t="shared" si="65"/>
        <v>249.93442000000002</v>
      </c>
      <c r="G708" s="107">
        <v>0</v>
      </c>
      <c r="H708" s="107">
        <f>249934.42/1000</f>
        <v>249.93442000000002</v>
      </c>
      <c r="I708" s="107">
        <v>0</v>
      </c>
      <c r="J708" s="107">
        <v>0</v>
      </c>
      <c r="K708" s="39" t="s">
        <v>156</v>
      </c>
    </row>
    <row r="709" spans="1:11" s="49" customFormat="1" ht="26.4" x14ac:dyDescent="0.3">
      <c r="A709" s="16" t="s">
        <v>2648</v>
      </c>
      <c r="B709" s="243"/>
      <c r="C709" s="18" t="s">
        <v>1013</v>
      </c>
      <c r="D709" s="16" t="s">
        <v>951</v>
      </c>
      <c r="E709" s="16" t="s">
        <v>19</v>
      </c>
      <c r="F709" s="107">
        <f t="shared" si="65"/>
        <v>109.06667</v>
      </c>
      <c r="G709" s="107">
        <v>0</v>
      </c>
      <c r="H709" s="107">
        <v>0</v>
      </c>
      <c r="I709" s="107">
        <f>109066.67/1000</f>
        <v>109.06667</v>
      </c>
      <c r="J709" s="107">
        <v>0</v>
      </c>
      <c r="K709" s="39" t="s">
        <v>233</v>
      </c>
    </row>
    <row r="710" spans="1:11" s="49" customFormat="1" ht="52.8" x14ac:dyDescent="0.3">
      <c r="A710" s="16" t="s">
        <v>2649</v>
      </c>
      <c r="B710" s="243"/>
      <c r="C710" s="18" t="s">
        <v>1014</v>
      </c>
      <c r="D710" s="16" t="s">
        <v>953</v>
      </c>
      <c r="E710" s="16" t="s">
        <v>19</v>
      </c>
      <c r="F710" s="107">
        <f t="shared" si="65"/>
        <v>487.08</v>
      </c>
      <c r="G710" s="107">
        <v>0</v>
      </c>
      <c r="H710" s="107">
        <v>0</v>
      </c>
      <c r="I710" s="107">
        <f>487080/1000</f>
        <v>487.08</v>
      </c>
      <c r="J710" s="107">
        <v>0</v>
      </c>
      <c r="K710" s="39" t="s">
        <v>1008</v>
      </c>
    </row>
    <row r="711" spans="1:11" s="49" customFormat="1" ht="52.8" x14ac:dyDescent="0.3">
      <c r="A711" s="16" t="s">
        <v>2650</v>
      </c>
      <c r="B711" s="243"/>
      <c r="C711" s="18" t="s">
        <v>1015</v>
      </c>
      <c r="D711" s="16" t="s">
        <v>955</v>
      </c>
      <c r="E711" s="16" t="s">
        <v>19</v>
      </c>
      <c r="F711" s="107">
        <f>G711+H711+I711+J711</f>
        <v>807.1</v>
      </c>
      <c r="G711" s="107">
        <v>0</v>
      </c>
      <c r="H711" s="107">
        <v>0</v>
      </c>
      <c r="I711" s="107">
        <f>807100/1000</f>
        <v>807.1</v>
      </c>
      <c r="J711" s="107">
        <v>0</v>
      </c>
      <c r="K711" s="39" t="s">
        <v>1008</v>
      </c>
    </row>
    <row r="712" spans="1:11" s="49" customFormat="1" ht="39.6" x14ac:dyDescent="0.3">
      <c r="A712" s="16" t="s">
        <v>2651</v>
      </c>
      <c r="B712" s="243"/>
      <c r="C712" s="18" t="s">
        <v>1016</v>
      </c>
      <c r="D712" s="16" t="s">
        <v>957</v>
      </c>
      <c r="E712" s="16" t="s">
        <v>19</v>
      </c>
      <c r="F712" s="107">
        <f t="shared" si="65"/>
        <v>275</v>
      </c>
      <c r="G712" s="107">
        <v>0</v>
      </c>
      <c r="H712" s="107">
        <v>0</v>
      </c>
      <c r="I712" s="107">
        <f>275000/1000</f>
        <v>275</v>
      </c>
      <c r="J712" s="107">
        <v>0</v>
      </c>
      <c r="K712" s="39" t="s">
        <v>201</v>
      </c>
    </row>
    <row r="713" spans="1:11" s="49" customFormat="1" ht="26.4" x14ac:dyDescent="0.3">
      <c r="A713" s="16" t="s">
        <v>2652</v>
      </c>
      <c r="B713" s="243"/>
      <c r="C713" s="18" t="s">
        <v>1017</v>
      </c>
      <c r="D713" s="16" t="s">
        <v>959</v>
      </c>
      <c r="E713" s="16" t="s">
        <v>19</v>
      </c>
      <c r="F713" s="107">
        <f t="shared" si="65"/>
        <v>66</v>
      </c>
      <c r="G713" s="107">
        <v>0</v>
      </c>
      <c r="H713" s="107">
        <v>0</v>
      </c>
      <c r="I713" s="107">
        <f>66000/1000</f>
        <v>66</v>
      </c>
      <c r="J713" s="107">
        <v>0</v>
      </c>
      <c r="K713" s="39" t="s">
        <v>201</v>
      </c>
    </row>
    <row r="714" spans="1:11" s="49" customFormat="1" ht="39.6" x14ac:dyDescent="0.3">
      <c r="A714" s="16" t="s">
        <v>2653</v>
      </c>
      <c r="B714" s="243"/>
      <c r="C714" s="18" t="s">
        <v>1018</v>
      </c>
      <c r="D714" s="16" t="s">
        <v>961</v>
      </c>
      <c r="E714" s="16" t="s">
        <v>19</v>
      </c>
      <c r="F714" s="107">
        <f t="shared" si="65"/>
        <v>856.08344</v>
      </c>
      <c r="G714" s="107">
        <v>0</v>
      </c>
      <c r="H714" s="107">
        <v>0</v>
      </c>
      <c r="I714" s="107">
        <f>856083.44/1000</f>
        <v>856.08344</v>
      </c>
      <c r="J714" s="107">
        <v>0</v>
      </c>
      <c r="K714" s="39" t="s">
        <v>233</v>
      </c>
    </row>
    <row r="715" spans="1:11" s="49" customFormat="1" ht="39.6" x14ac:dyDescent="0.3">
      <c r="A715" s="16" t="s">
        <v>2654</v>
      </c>
      <c r="B715" s="243"/>
      <c r="C715" s="18" t="s">
        <v>1019</v>
      </c>
      <c r="D715" s="16" t="s">
        <v>963</v>
      </c>
      <c r="E715" s="16" t="s">
        <v>19</v>
      </c>
      <c r="F715" s="107">
        <f t="shared" si="65"/>
        <v>913.80018000000007</v>
      </c>
      <c r="G715" s="107">
        <v>0</v>
      </c>
      <c r="H715" s="107">
        <v>0</v>
      </c>
      <c r="I715" s="107">
        <f>913800.18/1000</f>
        <v>913.80018000000007</v>
      </c>
      <c r="J715" s="107">
        <v>0</v>
      </c>
      <c r="K715" s="39" t="s">
        <v>201</v>
      </c>
    </row>
    <row r="716" spans="1:11" s="49" customFormat="1" ht="52.8" x14ac:dyDescent="0.3">
      <c r="A716" s="16" t="s">
        <v>2655</v>
      </c>
      <c r="B716" s="243"/>
      <c r="C716" s="18" t="s">
        <v>1020</v>
      </c>
      <c r="D716" s="16" t="s">
        <v>965</v>
      </c>
      <c r="E716" s="16" t="s">
        <v>19</v>
      </c>
      <c r="F716" s="107">
        <f>G716+H716+I716+J716</f>
        <v>67.180019999999999</v>
      </c>
      <c r="G716" s="107">
        <v>0</v>
      </c>
      <c r="H716" s="107">
        <f>67180.02/1000</f>
        <v>67.180019999999999</v>
      </c>
      <c r="I716" s="107">
        <v>0</v>
      </c>
      <c r="J716" s="107">
        <v>0</v>
      </c>
      <c r="K716" s="39" t="s">
        <v>987</v>
      </c>
    </row>
    <row r="717" spans="1:11" s="49" customFormat="1" ht="52.8" x14ac:dyDescent="0.3">
      <c r="A717" s="16" t="s">
        <v>2656</v>
      </c>
      <c r="B717" s="243"/>
      <c r="C717" s="18" t="s">
        <v>1021</v>
      </c>
      <c r="D717" s="16" t="s">
        <v>967</v>
      </c>
      <c r="E717" s="16" t="s">
        <v>19</v>
      </c>
      <c r="F717" s="107">
        <f t="shared" si="65"/>
        <v>1082.4833500000002</v>
      </c>
      <c r="G717" s="107">
        <v>0</v>
      </c>
      <c r="H717" s="107">
        <f>1082483.35/1000</f>
        <v>1082.4833500000002</v>
      </c>
      <c r="I717" s="107">
        <v>0</v>
      </c>
      <c r="J717" s="107">
        <v>0</v>
      </c>
      <c r="K717" s="39" t="s">
        <v>156</v>
      </c>
    </row>
    <row r="718" spans="1:11" s="49" customFormat="1" ht="39.6" x14ac:dyDescent="0.3">
      <c r="A718" s="16" t="s">
        <v>2657</v>
      </c>
      <c r="B718" s="243"/>
      <c r="C718" s="18" t="s">
        <v>1022</v>
      </c>
      <c r="D718" s="16" t="s">
        <v>969</v>
      </c>
      <c r="E718" s="16" t="s">
        <v>19</v>
      </c>
      <c r="F718" s="107">
        <f t="shared" si="65"/>
        <v>283.10803999999996</v>
      </c>
      <c r="G718" s="107">
        <v>0</v>
      </c>
      <c r="H718" s="107">
        <v>0</v>
      </c>
      <c r="I718" s="107">
        <f>283108.04/1000</f>
        <v>283.10803999999996</v>
      </c>
      <c r="J718" s="107">
        <v>0</v>
      </c>
      <c r="K718" s="39" t="s">
        <v>1023</v>
      </c>
    </row>
    <row r="719" spans="1:11" s="49" customFormat="1" ht="39.6" x14ac:dyDescent="0.3">
      <c r="A719" s="16" t="s">
        <v>2658</v>
      </c>
      <c r="B719" s="243"/>
      <c r="C719" s="18" t="s">
        <v>1024</v>
      </c>
      <c r="D719" s="16" t="s">
        <v>971</v>
      </c>
      <c r="E719" s="16" t="s">
        <v>19</v>
      </c>
      <c r="F719" s="107">
        <f t="shared" si="65"/>
        <v>873.10534999999993</v>
      </c>
      <c r="G719" s="107">
        <v>0</v>
      </c>
      <c r="H719" s="107">
        <v>0</v>
      </c>
      <c r="I719" s="107">
        <f>873105.35/1000</f>
        <v>873.10534999999993</v>
      </c>
      <c r="J719" s="107">
        <v>0</v>
      </c>
      <c r="K719" s="39" t="s">
        <v>1023</v>
      </c>
    </row>
    <row r="720" spans="1:11" s="49" customFormat="1" ht="52.8" x14ac:dyDescent="0.3">
      <c r="A720" s="16" t="s">
        <v>2659</v>
      </c>
      <c r="B720" s="243"/>
      <c r="C720" s="18" t="s">
        <v>1025</v>
      </c>
      <c r="D720" s="16" t="s">
        <v>1026</v>
      </c>
      <c r="E720" s="16" t="s">
        <v>19</v>
      </c>
      <c r="F720" s="107">
        <f t="shared" si="65"/>
        <v>161.63831999999999</v>
      </c>
      <c r="G720" s="107">
        <v>0</v>
      </c>
      <c r="H720" s="107">
        <v>0</v>
      </c>
      <c r="I720" s="107">
        <f>161638.32/1000</f>
        <v>161.63831999999999</v>
      </c>
      <c r="J720" s="107">
        <v>0</v>
      </c>
      <c r="K720" s="39" t="s">
        <v>1008</v>
      </c>
    </row>
    <row r="721" spans="1:12" s="49" customFormat="1" ht="66" x14ac:dyDescent="0.3">
      <c r="A721" s="16" t="s">
        <v>2660</v>
      </c>
      <c r="B721" s="243"/>
      <c r="C721" s="18" t="s">
        <v>1027</v>
      </c>
      <c r="D721" s="16" t="s">
        <v>974</v>
      </c>
      <c r="E721" s="16" t="s">
        <v>19</v>
      </c>
      <c r="F721" s="107">
        <f>G721+H721+I721+J721</f>
        <v>755.65847999999994</v>
      </c>
      <c r="G721" s="107">
        <v>0</v>
      </c>
      <c r="H721" s="107">
        <v>0</v>
      </c>
      <c r="I721" s="107">
        <f>755658.48/1000</f>
        <v>755.65847999999994</v>
      </c>
      <c r="J721" s="107">
        <v>0</v>
      </c>
      <c r="K721" s="39" t="s">
        <v>1008</v>
      </c>
    </row>
    <row r="722" spans="1:12" s="49" customFormat="1" ht="26.4" x14ac:dyDescent="0.3">
      <c r="A722" s="16" t="s">
        <v>2661</v>
      </c>
      <c r="B722" s="243"/>
      <c r="C722" s="18" t="s">
        <v>1028</v>
      </c>
      <c r="D722" s="16" t="s">
        <v>381</v>
      </c>
      <c r="E722" s="16" t="s">
        <v>19</v>
      </c>
      <c r="F722" s="107">
        <f t="shared" si="65"/>
        <v>345.42419999999998</v>
      </c>
      <c r="G722" s="107">
        <v>0</v>
      </c>
      <c r="H722" s="107">
        <v>0</v>
      </c>
      <c r="I722" s="107">
        <f>345424.2/1000</f>
        <v>345.42419999999998</v>
      </c>
      <c r="J722" s="107">
        <v>0</v>
      </c>
      <c r="K722" s="39" t="s">
        <v>233</v>
      </c>
    </row>
    <row r="723" spans="1:12" s="49" customFormat="1" ht="52.8" x14ac:dyDescent="0.3">
      <c r="A723" s="16" t="s">
        <v>2662</v>
      </c>
      <c r="B723" s="243"/>
      <c r="C723" s="18" t="s">
        <v>1029</v>
      </c>
      <c r="D723" s="16" t="s">
        <v>977</v>
      </c>
      <c r="E723" s="16" t="s">
        <v>19</v>
      </c>
      <c r="F723" s="107">
        <f t="shared" si="65"/>
        <v>7731.8612200000007</v>
      </c>
      <c r="G723" s="107">
        <v>0</v>
      </c>
      <c r="H723" s="107">
        <f>2773344.24/1000</f>
        <v>2773.3442400000004</v>
      </c>
      <c r="I723" s="107">
        <f>4958516.98/1000</f>
        <v>4958.5169800000003</v>
      </c>
      <c r="J723" s="107">
        <v>0</v>
      </c>
      <c r="K723" s="39" t="s">
        <v>156</v>
      </c>
    </row>
    <row r="724" spans="1:12" s="49" customFormat="1" ht="52.8" x14ac:dyDescent="0.3">
      <c r="A724" s="16" t="s">
        <v>2663</v>
      </c>
      <c r="B724" s="244"/>
      <c r="C724" s="18" t="s">
        <v>1030</v>
      </c>
      <c r="D724" s="16" t="s">
        <v>980</v>
      </c>
      <c r="E724" s="16" t="s">
        <v>695</v>
      </c>
      <c r="F724" s="107">
        <f t="shared" si="65"/>
        <v>2400</v>
      </c>
      <c r="G724" s="107">
        <v>0</v>
      </c>
      <c r="H724" s="107">
        <v>0</v>
      </c>
      <c r="I724" s="107">
        <f>2400000/1000</f>
        <v>2400</v>
      </c>
      <c r="J724" s="107">
        <v>0</v>
      </c>
      <c r="K724" s="39" t="s">
        <v>998</v>
      </c>
    </row>
    <row r="725" spans="1:12" s="32" customFormat="1" ht="28.5" customHeight="1" x14ac:dyDescent="0.3">
      <c r="A725" s="240" t="s">
        <v>1053</v>
      </c>
      <c r="B725" s="240"/>
      <c r="C725" s="240"/>
      <c r="D725" s="22"/>
      <c r="E725" s="31"/>
      <c r="F725" s="202">
        <f>SUM(F684:F724)</f>
        <v>55910.295959999989</v>
      </c>
      <c r="G725" s="134">
        <f>SUM(G684:G724)</f>
        <v>0</v>
      </c>
      <c r="H725" s="134">
        <f t="shared" ref="H725:J725" si="66">SUM(H684:H724)</f>
        <v>35505.627</v>
      </c>
      <c r="I725" s="134">
        <f t="shared" si="66"/>
        <v>20404.668959999999</v>
      </c>
      <c r="J725" s="134">
        <f t="shared" si="66"/>
        <v>0</v>
      </c>
      <c r="K725" s="31"/>
      <c r="L725" s="58"/>
    </row>
    <row r="726" spans="1:12" s="49" customFormat="1" ht="26.4" x14ac:dyDescent="0.3">
      <c r="A726" s="16" t="s">
        <v>2664</v>
      </c>
      <c r="B726" s="242" t="s">
        <v>867</v>
      </c>
      <c r="C726" s="18" t="s">
        <v>1031</v>
      </c>
      <c r="D726" s="16" t="s">
        <v>869</v>
      </c>
      <c r="E726" s="16" t="s">
        <v>19</v>
      </c>
      <c r="F726" s="107">
        <f>G726+H726+I726</f>
        <v>889.66949999999997</v>
      </c>
      <c r="G726" s="107">
        <v>0</v>
      </c>
      <c r="H726" s="107">
        <v>0</v>
      </c>
      <c r="I726" s="107">
        <f>889669.5/1000</f>
        <v>889.66949999999997</v>
      </c>
      <c r="J726" s="107">
        <v>0</v>
      </c>
      <c r="K726" s="39" t="s">
        <v>1032</v>
      </c>
    </row>
    <row r="727" spans="1:12" s="49" customFormat="1" ht="26.4" x14ac:dyDescent="0.3">
      <c r="A727" s="16" t="s">
        <v>2665</v>
      </c>
      <c r="B727" s="243"/>
      <c r="C727" s="18" t="s">
        <v>1033</v>
      </c>
      <c r="D727" s="16" t="s">
        <v>871</v>
      </c>
      <c r="E727" s="16" t="s">
        <v>19</v>
      </c>
      <c r="F727" s="107">
        <f t="shared" ref="F727:F744" si="67">G727+H727+I727</f>
        <v>971.85617000000002</v>
      </c>
      <c r="G727" s="107">
        <v>0</v>
      </c>
      <c r="H727" s="107">
        <v>0</v>
      </c>
      <c r="I727" s="107">
        <f>971856.17/1000</f>
        <v>971.85617000000002</v>
      </c>
      <c r="J727" s="107">
        <v>0</v>
      </c>
      <c r="K727" s="39" t="s">
        <v>207</v>
      </c>
    </row>
    <row r="728" spans="1:12" s="49" customFormat="1" ht="26.4" x14ac:dyDescent="0.3">
      <c r="A728" s="16" t="s">
        <v>2666</v>
      </c>
      <c r="B728" s="243"/>
      <c r="C728" s="18" t="s">
        <v>1034</v>
      </c>
      <c r="D728" s="16" t="s">
        <v>873</v>
      </c>
      <c r="E728" s="16" t="s">
        <v>19</v>
      </c>
      <c r="F728" s="107">
        <f t="shared" si="67"/>
        <v>1675.3961899999999</v>
      </c>
      <c r="G728" s="107">
        <v>0</v>
      </c>
      <c r="H728" s="107">
        <v>0</v>
      </c>
      <c r="I728" s="107">
        <f>1675396.19/1000</f>
        <v>1675.3961899999999</v>
      </c>
      <c r="J728" s="107">
        <v>0</v>
      </c>
      <c r="K728" s="39" t="s">
        <v>1035</v>
      </c>
    </row>
    <row r="729" spans="1:12" s="49" customFormat="1" ht="26.4" x14ac:dyDescent="0.3">
      <c r="A729" s="16" t="s">
        <v>2667</v>
      </c>
      <c r="B729" s="243"/>
      <c r="C729" s="18" t="s">
        <v>1036</v>
      </c>
      <c r="D729" s="16" t="s">
        <v>875</v>
      </c>
      <c r="E729" s="16" t="s">
        <v>19</v>
      </c>
      <c r="F729" s="107">
        <f t="shared" si="67"/>
        <v>914.01291000000003</v>
      </c>
      <c r="G729" s="107">
        <v>0</v>
      </c>
      <c r="H729" s="107">
        <v>0</v>
      </c>
      <c r="I729" s="107">
        <f>914012.91/1000</f>
        <v>914.01291000000003</v>
      </c>
      <c r="J729" s="107">
        <v>0</v>
      </c>
      <c r="K729" s="39" t="s">
        <v>1032</v>
      </c>
    </row>
    <row r="730" spans="1:12" s="49" customFormat="1" ht="26.4" x14ac:dyDescent="0.3">
      <c r="A730" s="16" t="s">
        <v>2668</v>
      </c>
      <c r="B730" s="243"/>
      <c r="C730" s="18" t="s">
        <v>1037</v>
      </c>
      <c r="D730" s="16" t="s">
        <v>591</v>
      </c>
      <c r="E730" s="16" t="s">
        <v>19</v>
      </c>
      <c r="F730" s="107">
        <f t="shared" si="67"/>
        <v>2190.3897000000002</v>
      </c>
      <c r="G730" s="107">
        <v>0</v>
      </c>
      <c r="H730" s="107">
        <v>0</v>
      </c>
      <c r="I730" s="107">
        <f>2190389.7/1000</f>
        <v>2190.3897000000002</v>
      </c>
      <c r="J730" s="107">
        <v>0</v>
      </c>
      <c r="K730" s="39" t="s">
        <v>207</v>
      </c>
    </row>
    <row r="731" spans="1:12" s="49" customFormat="1" ht="26.4" x14ac:dyDescent="0.3">
      <c r="A731" s="16" t="s">
        <v>2669</v>
      </c>
      <c r="B731" s="243"/>
      <c r="C731" s="18" t="s">
        <v>1038</v>
      </c>
      <c r="D731" s="16" t="s">
        <v>880</v>
      </c>
      <c r="E731" s="16" t="s">
        <v>19</v>
      </c>
      <c r="F731" s="107">
        <f t="shared" si="67"/>
        <v>904.32905000000005</v>
      </c>
      <c r="G731" s="107">
        <v>0</v>
      </c>
      <c r="H731" s="107">
        <v>0</v>
      </c>
      <c r="I731" s="107">
        <f>904329.05/1000</f>
        <v>904.32905000000005</v>
      </c>
      <c r="J731" s="107">
        <v>0</v>
      </c>
      <c r="K731" s="39" t="s">
        <v>1035</v>
      </c>
    </row>
    <row r="732" spans="1:12" s="49" customFormat="1" ht="26.4" x14ac:dyDescent="0.3">
      <c r="A732" s="16" t="s">
        <v>2670</v>
      </c>
      <c r="B732" s="243"/>
      <c r="C732" s="18" t="s">
        <v>1039</v>
      </c>
      <c r="D732" s="16" t="s">
        <v>882</v>
      </c>
      <c r="E732" s="16" t="s">
        <v>19</v>
      </c>
      <c r="F732" s="107">
        <f t="shared" si="67"/>
        <v>174.73464000000001</v>
      </c>
      <c r="G732" s="107">
        <v>0</v>
      </c>
      <c r="H732" s="107">
        <v>0</v>
      </c>
      <c r="I732" s="107">
        <f>174734.64/1000</f>
        <v>174.73464000000001</v>
      </c>
      <c r="J732" s="107">
        <v>0</v>
      </c>
      <c r="K732" s="39" t="s">
        <v>207</v>
      </c>
    </row>
    <row r="733" spans="1:12" s="49" customFormat="1" ht="26.4" x14ac:dyDescent="0.3">
      <c r="A733" s="16" t="s">
        <v>2671</v>
      </c>
      <c r="B733" s="243"/>
      <c r="C733" s="18" t="s">
        <v>1040</v>
      </c>
      <c r="D733" s="16" t="s">
        <v>884</v>
      </c>
      <c r="E733" s="16" t="s">
        <v>19</v>
      </c>
      <c r="F733" s="107">
        <f t="shared" si="67"/>
        <v>352.10005000000001</v>
      </c>
      <c r="G733" s="107">
        <v>0</v>
      </c>
      <c r="H733" s="107">
        <v>0</v>
      </c>
      <c r="I733" s="107">
        <f>352100.05/1000</f>
        <v>352.10005000000001</v>
      </c>
      <c r="J733" s="107">
        <v>0</v>
      </c>
      <c r="K733" s="39" t="s">
        <v>1032</v>
      </c>
    </row>
    <row r="734" spans="1:12" s="49" customFormat="1" ht="26.4" x14ac:dyDescent="0.3">
      <c r="A734" s="16" t="s">
        <v>2672</v>
      </c>
      <c r="B734" s="243"/>
      <c r="C734" s="18" t="s">
        <v>1041</v>
      </c>
      <c r="D734" s="16" t="s">
        <v>878</v>
      </c>
      <c r="E734" s="16" t="s">
        <v>19</v>
      </c>
      <c r="F734" s="107">
        <f t="shared" si="67"/>
        <v>78.58</v>
      </c>
      <c r="G734" s="107">
        <v>0</v>
      </c>
      <c r="H734" s="107">
        <v>0</v>
      </c>
      <c r="I734" s="107">
        <f>78580/1000</f>
        <v>78.58</v>
      </c>
      <c r="J734" s="107">
        <v>0</v>
      </c>
      <c r="K734" s="39" t="s">
        <v>315</v>
      </c>
    </row>
    <row r="735" spans="1:12" s="49" customFormat="1" ht="26.4" x14ac:dyDescent="0.3">
      <c r="A735" s="16" t="s">
        <v>2673</v>
      </c>
      <c r="B735" s="243"/>
      <c r="C735" s="18" t="s">
        <v>1042</v>
      </c>
      <c r="D735" s="16" t="s">
        <v>892</v>
      </c>
      <c r="E735" s="16" t="s">
        <v>19</v>
      </c>
      <c r="F735" s="107">
        <f t="shared" si="67"/>
        <v>500</v>
      </c>
      <c r="G735" s="107">
        <v>0</v>
      </c>
      <c r="H735" s="107">
        <v>0</v>
      </c>
      <c r="I735" s="107">
        <f>500000/1000</f>
        <v>500</v>
      </c>
      <c r="J735" s="107">
        <v>0</v>
      </c>
      <c r="K735" s="39" t="s">
        <v>207</v>
      </c>
    </row>
    <row r="736" spans="1:12" s="49" customFormat="1" ht="26.4" x14ac:dyDescent="0.3">
      <c r="A736" s="16" t="s">
        <v>2674</v>
      </c>
      <c r="B736" s="243"/>
      <c r="C736" s="18" t="s">
        <v>1043</v>
      </c>
      <c r="D736" s="16" t="s">
        <v>899</v>
      </c>
      <c r="E736" s="16" t="s">
        <v>19</v>
      </c>
      <c r="F736" s="107">
        <f t="shared" si="67"/>
        <v>500</v>
      </c>
      <c r="G736" s="107">
        <v>0</v>
      </c>
      <c r="H736" s="107">
        <v>0</v>
      </c>
      <c r="I736" s="107">
        <f>500000/1000</f>
        <v>500</v>
      </c>
      <c r="J736" s="107">
        <v>0</v>
      </c>
      <c r="K736" s="39" t="s">
        <v>207</v>
      </c>
    </row>
    <row r="737" spans="1:12" s="49" customFormat="1" ht="39.6" x14ac:dyDescent="0.3">
      <c r="A737" s="16" t="s">
        <v>2675</v>
      </c>
      <c r="B737" s="243"/>
      <c r="C737" s="18" t="s">
        <v>1044</v>
      </c>
      <c r="D737" s="16" t="s">
        <v>911</v>
      </c>
      <c r="E737" s="16" t="s">
        <v>19</v>
      </c>
      <c r="F737" s="107">
        <f t="shared" si="67"/>
        <v>648.85996</v>
      </c>
      <c r="G737" s="107">
        <v>0</v>
      </c>
      <c r="H737" s="107">
        <v>0</v>
      </c>
      <c r="I737" s="107">
        <f>648859.96/1000</f>
        <v>648.85996</v>
      </c>
      <c r="J737" s="107">
        <v>0</v>
      </c>
      <c r="K737" s="39" t="s">
        <v>1045</v>
      </c>
    </row>
    <row r="738" spans="1:12" s="49" customFormat="1" ht="26.4" x14ac:dyDescent="0.3">
      <c r="A738" s="16" t="s">
        <v>2676</v>
      </c>
      <c r="B738" s="243"/>
      <c r="C738" s="18" t="s">
        <v>1046</v>
      </c>
      <c r="D738" s="16" t="s">
        <v>913</v>
      </c>
      <c r="E738" s="16" t="s">
        <v>19</v>
      </c>
      <c r="F738" s="107">
        <f t="shared" si="67"/>
        <v>19081.399399999998</v>
      </c>
      <c r="G738" s="107">
        <v>0</v>
      </c>
      <c r="H738" s="107">
        <v>0</v>
      </c>
      <c r="I738" s="107">
        <f>19081399.4/1000</f>
        <v>19081.399399999998</v>
      </c>
      <c r="J738" s="107">
        <v>0</v>
      </c>
      <c r="K738" s="39" t="s">
        <v>315</v>
      </c>
    </row>
    <row r="739" spans="1:12" s="49" customFormat="1" ht="26.4" x14ac:dyDescent="0.3">
      <c r="A739" s="16" t="s">
        <v>2677</v>
      </c>
      <c r="B739" s="243"/>
      <c r="C739" s="18" t="s">
        <v>1047</v>
      </c>
      <c r="D739" s="16" t="s">
        <v>920</v>
      </c>
      <c r="E739" s="16" t="s">
        <v>19</v>
      </c>
      <c r="F739" s="107">
        <f t="shared" si="67"/>
        <v>152.09811999999999</v>
      </c>
      <c r="G739" s="107">
        <v>0</v>
      </c>
      <c r="H739" s="107">
        <v>0</v>
      </c>
      <c r="I739" s="107">
        <f>152098.12/1000</f>
        <v>152.09811999999999</v>
      </c>
      <c r="J739" s="107">
        <v>0</v>
      </c>
      <c r="K739" s="39" t="s">
        <v>207</v>
      </c>
    </row>
    <row r="740" spans="1:12" s="49" customFormat="1" ht="26.4" x14ac:dyDescent="0.3">
      <c r="A740" s="16" t="s">
        <v>2678</v>
      </c>
      <c r="B740" s="243"/>
      <c r="C740" s="18" t="s">
        <v>1048</v>
      </c>
      <c r="D740" s="16" t="s">
        <v>1006</v>
      </c>
      <c r="E740" s="16" t="s">
        <v>19</v>
      </c>
      <c r="F740" s="107">
        <f t="shared" si="67"/>
        <v>981.71579000000008</v>
      </c>
      <c r="G740" s="107">
        <v>0</v>
      </c>
      <c r="H740" s="107">
        <v>0</v>
      </c>
      <c r="I740" s="107">
        <f>981715.79/1000</f>
        <v>981.71579000000008</v>
      </c>
      <c r="J740" s="107">
        <v>0</v>
      </c>
      <c r="K740" s="39" t="s">
        <v>207</v>
      </c>
    </row>
    <row r="741" spans="1:12" s="49" customFormat="1" ht="26.4" x14ac:dyDescent="0.3">
      <c r="A741" s="16" t="s">
        <v>2679</v>
      </c>
      <c r="B741" s="243"/>
      <c r="C741" s="18" t="s">
        <v>1049</v>
      </c>
      <c r="D741" s="16" t="s">
        <v>947</v>
      </c>
      <c r="E741" s="16" t="s">
        <v>19</v>
      </c>
      <c r="F741" s="107">
        <f t="shared" si="67"/>
        <v>249.93442000000002</v>
      </c>
      <c r="G741" s="107">
        <v>0</v>
      </c>
      <c r="H741" s="107">
        <v>0</v>
      </c>
      <c r="I741" s="107">
        <f>249934.42/1000</f>
        <v>249.93442000000002</v>
      </c>
      <c r="J741" s="107">
        <v>0</v>
      </c>
      <c r="K741" s="39" t="s">
        <v>315</v>
      </c>
    </row>
    <row r="742" spans="1:12" s="49" customFormat="1" ht="52.8" x14ac:dyDescent="0.3">
      <c r="A742" s="16" t="s">
        <v>2680</v>
      </c>
      <c r="B742" s="243"/>
      <c r="C742" s="18" t="s">
        <v>1050</v>
      </c>
      <c r="D742" s="16" t="s">
        <v>965</v>
      </c>
      <c r="E742" s="16" t="s">
        <v>19</v>
      </c>
      <c r="F742" s="107">
        <f t="shared" si="67"/>
        <v>67.180019999999999</v>
      </c>
      <c r="G742" s="107">
        <v>0</v>
      </c>
      <c r="H742" s="107">
        <v>0</v>
      </c>
      <c r="I742" s="107">
        <f>67180.02/1000</f>
        <v>67.180019999999999</v>
      </c>
      <c r="J742" s="107">
        <v>0</v>
      </c>
      <c r="K742" s="39" t="s">
        <v>1035</v>
      </c>
    </row>
    <row r="743" spans="1:12" s="49" customFormat="1" ht="52.8" x14ac:dyDescent="0.3">
      <c r="A743" s="16" t="s">
        <v>2681</v>
      </c>
      <c r="B743" s="244"/>
      <c r="C743" s="18" t="s">
        <v>1051</v>
      </c>
      <c r="D743" s="16" t="s">
        <v>967</v>
      </c>
      <c r="E743" s="16" t="s">
        <v>19</v>
      </c>
      <c r="F743" s="107">
        <f t="shared" si="67"/>
        <v>1082.4833500000002</v>
      </c>
      <c r="G743" s="107">
        <v>0</v>
      </c>
      <c r="H743" s="107">
        <v>0</v>
      </c>
      <c r="I743" s="107">
        <f>1082483.35/1000</f>
        <v>1082.4833500000002</v>
      </c>
      <c r="J743" s="107">
        <v>0</v>
      </c>
      <c r="K743" s="39" t="s">
        <v>315</v>
      </c>
    </row>
    <row r="744" spans="1:12" s="32" customFormat="1" ht="32.25" customHeight="1" x14ac:dyDescent="0.3">
      <c r="A744" s="240" t="s">
        <v>1054</v>
      </c>
      <c r="B744" s="240"/>
      <c r="C744" s="240"/>
      <c r="D744" s="31"/>
      <c r="E744" s="31"/>
      <c r="F744" s="202">
        <f t="shared" si="67"/>
        <v>31414.739269999995</v>
      </c>
      <c r="G744" s="134">
        <f>SUM(G726:G743)</f>
        <v>0</v>
      </c>
      <c r="H744" s="134">
        <f t="shared" ref="H744:J744" si="68">SUM(H726:H743)</f>
        <v>0</v>
      </c>
      <c r="I744" s="134">
        <f t="shared" si="68"/>
        <v>31414.739269999995</v>
      </c>
      <c r="J744" s="134">
        <f t="shared" si="68"/>
        <v>0</v>
      </c>
      <c r="K744" s="31"/>
    </row>
    <row r="745" spans="1:12" s="28" customFormat="1" ht="37.200000000000003" customHeight="1" x14ac:dyDescent="0.3">
      <c r="A745" s="13">
        <v>681</v>
      </c>
      <c r="B745" s="29" t="s">
        <v>1059</v>
      </c>
      <c r="C745" s="1" t="s">
        <v>1055</v>
      </c>
      <c r="D745" s="1" t="s">
        <v>1056</v>
      </c>
      <c r="E745" s="1" t="s">
        <v>1057</v>
      </c>
      <c r="F745" s="193">
        <v>5990.4</v>
      </c>
      <c r="G745" s="193">
        <v>0</v>
      </c>
      <c r="H745" s="101">
        <v>2995.2</v>
      </c>
      <c r="I745" s="101">
        <v>2995.2</v>
      </c>
      <c r="J745" s="101">
        <v>0</v>
      </c>
      <c r="K745" s="16" t="s">
        <v>1058</v>
      </c>
    </row>
    <row r="746" spans="1:12" s="32" customFormat="1" ht="28.8" customHeight="1" x14ac:dyDescent="0.3">
      <c r="A746" s="250" t="s">
        <v>1060</v>
      </c>
      <c r="B746" s="251"/>
      <c r="C746" s="252"/>
      <c r="D746" s="34"/>
      <c r="E746" s="34"/>
      <c r="F746" s="134">
        <f>SUM(F745:F745)</f>
        <v>5990.4</v>
      </c>
      <c r="G746" s="134">
        <f>SUM(G745:G745)</f>
        <v>0</v>
      </c>
      <c r="H746" s="134">
        <f>SUM(H745:H745)</f>
        <v>2995.2</v>
      </c>
      <c r="I746" s="134">
        <f>SUM(I745:I745)</f>
        <v>2995.2</v>
      </c>
      <c r="J746" s="134">
        <f>SUM(J745:J745)</f>
        <v>0</v>
      </c>
      <c r="K746" s="31"/>
      <c r="L746" s="58"/>
    </row>
    <row r="747" spans="1:12" s="28" customFormat="1" ht="26.25" customHeight="1" x14ac:dyDescent="0.3">
      <c r="A747" s="13">
        <v>682</v>
      </c>
      <c r="B747" s="259" t="s">
        <v>1061</v>
      </c>
      <c r="C747" s="21" t="s">
        <v>1062</v>
      </c>
      <c r="D747" s="16" t="s">
        <v>1063</v>
      </c>
      <c r="E747" s="1" t="s">
        <v>19</v>
      </c>
      <c r="F747" s="193">
        <v>9990</v>
      </c>
      <c r="G747" s="193">
        <v>9990</v>
      </c>
      <c r="H747" s="101">
        <v>0</v>
      </c>
      <c r="I747" s="101">
        <v>0</v>
      </c>
      <c r="J747" s="101">
        <v>0</v>
      </c>
      <c r="K747" s="16" t="s">
        <v>149</v>
      </c>
    </row>
    <row r="748" spans="1:12" s="28" customFormat="1" ht="27" customHeight="1" x14ac:dyDescent="0.3">
      <c r="A748" s="13">
        <v>683</v>
      </c>
      <c r="B748" s="260"/>
      <c r="C748" s="21" t="s">
        <v>1064</v>
      </c>
      <c r="D748" s="16" t="s">
        <v>1065</v>
      </c>
      <c r="E748" s="1" t="s">
        <v>19</v>
      </c>
      <c r="F748" s="193">
        <v>5650</v>
      </c>
      <c r="G748" s="193">
        <v>5650</v>
      </c>
      <c r="H748" s="101">
        <v>0</v>
      </c>
      <c r="I748" s="101">
        <v>0</v>
      </c>
      <c r="J748" s="101">
        <v>0</v>
      </c>
      <c r="K748" s="16" t="s">
        <v>1066</v>
      </c>
    </row>
    <row r="749" spans="1:12" s="28" customFormat="1" ht="27" customHeight="1" x14ac:dyDescent="0.3">
      <c r="A749" s="53">
        <v>684</v>
      </c>
      <c r="B749" s="260"/>
      <c r="C749" s="21" t="s">
        <v>1067</v>
      </c>
      <c r="D749" s="16" t="s">
        <v>1068</v>
      </c>
      <c r="E749" s="1" t="s">
        <v>19</v>
      </c>
      <c r="F749" s="193">
        <v>5420.49</v>
      </c>
      <c r="G749" s="193">
        <v>5420.49</v>
      </c>
      <c r="H749" s="101">
        <v>0</v>
      </c>
      <c r="I749" s="101">
        <v>0</v>
      </c>
      <c r="J749" s="101">
        <v>0</v>
      </c>
      <c r="K749" s="16" t="s">
        <v>149</v>
      </c>
    </row>
    <row r="750" spans="1:12" s="28" customFormat="1" ht="27" customHeight="1" x14ac:dyDescent="0.3">
      <c r="A750" s="53">
        <v>685</v>
      </c>
      <c r="B750" s="260"/>
      <c r="C750" s="21" t="s">
        <v>1069</v>
      </c>
      <c r="D750" s="16" t="s">
        <v>1070</v>
      </c>
      <c r="E750" s="1" t="s">
        <v>19</v>
      </c>
      <c r="F750" s="193">
        <v>3941.32</v>
      </c>
      <c r="G750" s="193">
        <v>3941.32</v>
      </c>
      <c r="H750" s="101">
        <v>0</v>
      </c>
      <c r="I750" s="101">
        <v>0</v>
      </c>
      <c r="J750" s="101">
        <v>0</v>
      </c>
      <c r="K750" s="16" t="s">
        <v>149</v>
      </c>
    </row>
    <row r="751" spans="1:12" s="28" customFormat="1" ht="42" customHeight="1" x14ac:dyDescent="0.3">
      <c r="A751" s="53">
        <v>686</v>
      </c>
      <c r="B751" s="260"/>
      <c r="C751" s="21" t="s">
        <v>1071</v>
      </c>
      <c r="D751" s="16" t="s">
        <v>1072</v>
      </c>
      <c r="E751" s="1" t="s">
        <v>19</v>
      </c>
      <c r="F751" s="193">
        <v>3186.24</v>
      </c>
      <c r="G751" s="193">
        <v>3186.24</v>
      </c>
      <c r="H751" s="101">
        <v>0</v>
      </c>
      <c r="I751" s="101">
        <v>0</v>
      </c>
      <c r="J751" s="101">
        <v>0</v>
      </c>
      <c r="K751" s="16" t="s">
        <v>149</v>
      </c>
    </row>
    <row r="752" spans="1:12" s="28" customFormat="1" ht="27" customHeight="1" x14ac:dyDescent="0.3">
      <c r="A752" s="53">
        <v>687</v>
      </c>
      <c r="B752" s="260"/>
      <c r="C752" s="21" t="s">
        <v>1073</v>
      </c>
      <c r="D752" s="16" t="s">
        <v>1074</v>
      </c>
      <c r="E752" s="1" t="s">
        <v>19</v>
      </c>
      <c r="F752" s="101">
        <v>11105.6</v>
      </c>
      <c r="G752" s="101">
        <v>11105.6</v>
      </c>
      <c r="H752" s="101">
        <v>0</v>
      </c>
      <c r="I752" s="101">
        <v>0</v>
      </c>
      <c r="J752" s="101">
        <v>0</v>
      </c>
      <c r="K752" s="16" t="s">
        <v>149</v>
      </c>
    </row>
    <row r="753" spans="1:11" s="28" customFormat="1" ht="45" customHeight="1" x14ac:dyDescent="0.3">
      <c r="A753" s="53">
        <v>688</v>
      </c>
      <c r="B753" s="260"/>
      <c r="C753" s="21" t="s">
        <v>1075</v>
      </c>
      <c r="D753" s="16" t="s">
        <v>1076</v>
      </c>
      <c r="E753" s="1" t="s">
        <v>19</v>
      </c>
      <c r="F753" s="193">
        <v>600</v>
      </c>
      <c r="G753" s="193">
        <v>600</v>
      </c>
      <c r="H753" s="101">
        <v>0</v>
      </c>
      <c r="I753" s="101">
        <v>0</v>
      </c>
      <c r="J753" s="101">
        <v>0</v>
      </c>
      <c r="K753" s="16" t="s">
        <v>1066</v>
      </c>
    </row>
    <row r="754" spans="1:11" s="28" customFormat="1" ht="39" customHeight="1" x14ac:dyDescent="0.3">
      <c r="A754" s="53">
        <v>689</v>
      </c>
      <c r="B754" s="260"/>
      <c r="C754" s="21" t="s">
        <v>1077</v>
      </c>
      <c r="D754" s="16" t="s">
        <v>1078</v>
      </c>
      <c r="E754" s="1" t="s">
        <v>19</v>
      </c>
      <c r="F754" s="193">
        <v>2000</v>
      </c>
      <c r="G754" s="193">
        <v>2000</v>
      </c>
      <c r="H754" s="101">
        <v>0</v>
      </c>
      <c r="I754" s="101">
        <v>0</v>
      </c>
      <c r="J754" s="101">
        <v>0</v>
      </c>
      <c r="K754" s="16" t="s">
        <v>149</v>
      </c>
    </row>
    <row r="755" spans="1:11" s="28" customFormat="1" ht="31.2" customHeight="1" x14ac:dyDescent="0.3">
      <c r="A755" s="53">
        <v>690</v>
      </c>
      <c r="B755" s="260"/>
      <c r="C755" s="21" t="s">
        <v>1079</v>
      </c>
      <c r="D755" s="16" t="s">
        <v>1080</v>
      </c>
      <c r="E755" s="1" t="s">
        <v>19</v>
      </c>
      <c r="F755" s="193">
        <v>2049.73</v>
      </c>
      <c r="G755" s="193">
        <v>2049.73</v>
      </c>
      <c r="H755" s="101">
        <v>0</v>
      </c>
      <c r="I755" s="101">
        <v>0</v>
      </c>
      <c r="J755" s="101">
        <v>0</v>
      </c>
      <c r="K755" s="16" t="s">
        <v>149</v>
      </c>
    </row>
    <row r="756" spans="1:11" s="28" customFormat="1" ht="27" customHeight="1" x14ac:dyDescent="0.3">
      <c r="A756" s="53">
        <v>691</v>
      </c>
      <c r="B756" s="260"/>
      <c r="C756" s="21" t="s">
        <v>1081</v>
      </c>
      <c r="D756" s="16" t="s">
        <v>1082</v>
      </c>
      <c r="E756" s="1" t="s">
        <v>19</v>
      </c>
      <c r="F756" s="193">
        <v>4842.75</v>
      </c>
      <c r="G756" s="193">
        <v>4842.75</v>
      </c>
      <c r="H756" s="101">
        <v>0</v>
      </c>
      <c r="I756" s="101">
        <v>0</v>
      </c>
      <c r="J756" s="101">
        <v>0</v>
      </c>
      <c r="K756" s="16" t="s">
        <v>149</v>
      </c>
    </row>
    <row r="757" spans="1:11" s="28" customFormat="1" ht="27" customHeight="1" x14ac:dyDescent="0.3">
      <c r="A757" s="53">
        <v>692</v>
      </c>
      <c r="B757" s="260"/>
      <c r="C757" s="21" t="s">
        <v>1083</v>
      </c>
      <c r="D757" s="16" t="s">
        <v>1084</v>
      </c>
      <c r="E757" s="1" t="s">
        <v>19</v>
      </c>
      <c r="F757" s="193">
        <v>1948.35</v>
      </c>
      <c r="G757" s="193">
        <v>1948.35</v>
      </c>
      <c r="H757" s="101">
        <v>0</v>
      </c>
      <c r="I757" s="101">
        <v>0</v>
      </c>
      <c r="J757" s="101">
        <v>0</v>
      </c>
      <c r="K757" s="16" t="s">
        <v>1066</v>
      </c>
    </row>
    <row r="758" spans="1:11" s="28" customFormat="1" ht="39.75" customHeight="1" x14ac:dyDescent="0.3">
      <c r="A758" s="53">
        <v>693</v>
      </c>
      <c r="B758" s="260"/>
      <c r="C758" s="21" t="s">
        <v>1085</v>
      </c>
      <c r="D758" s="16" t="s">
        <v>1086</v>
      </c>
      <c r="E758" s="1" t="s">
        <v>19</v>
      </c>
      <c r="F758" s="193">
        <v>7530.72</v>
      </c>
      <c r="G758" s="193">
        <v>7530.72</v>
      </c>
      <c r="H758" s="101">
        <v>0</v>
      </c>
      <c r="I758" s="101">
        <v>0</v>
      </c>
      <c r="J758" s="101">
        <v>0</v>
      </c>
      <c r="K758" s="16" t="s">
        <v>1066</v>
      </c>
    </row>
    <row r="759" spans="1:11" s="28" customFormat="1" ht="40.200000000000003" customHeight="1" x14ac:dyDescent="0.3">
      <c r="A759" s="53">
        <v>694</v>
      </c>
      <c r="B759" s="260"/>
      <c r="C759" s="21" t="s">
        <v>1087</v>
      </c>
      <c r="D759" s="16" t="s">
        <v>1088</v>
      </c>
      <c r="E759" s="1" t="s">
        <v>19</v>
      </c>
      <c r="F759" s="193">
        <v>10570.74</v>
      </c>
      <c r="G759" s="193">
        <v>10570.74</v>
      </c>
      <c r="H759" s="101">
        <v>0</v>
      </c>
      <c r="I759" s="101">
        <v>0</v>
      </c>
      <c r="J759" s="101">
        <v>0</v>
      </c>
      <c r="K759" s="16" t="s">
        <v>1066</v>
      </c>
    </row>
    <row r="760" spans="1:11" s="28" customFormat="1" ht="27" customHeight="1" x14ac:dyDescent="0.3">
      <c r="A760" s="53">
        <v>695</v>
      </c>
      <c r="B760" s="260"/>
      <c r="C760" s="21" t="s">
        <v>1089</v>
      </c>
      <c r="D760" s="16" t="s">
        <v>1090</v>
      </c>
      <c r="E760" s="1" t="s">
        <v>19</v>
      </c>
      <c r="F760" s="193">
        <v>346.1</v>
      </c>
      <c r="G760" s="193">
        <v>346.1</v>
      </c>
      <c r="H760" s="101">
        <v>0</v>
      </c>
      <c r="I760" s="101">
        <v>0</v>
      </c>
      <c r="J760" s="101">
        <v>0</v>
      </c>
      <c r="K760" s="16" t="s">
        <v>1066</v>
      </c>
    </row>
    <row r="761" spans="1:11" s="28" customFormat="1" ht="27" customHeight="1" x14ac:dyDescent="0.3">
      <c r="A761" s="53">
        <v>696</v>
      </c>
      <c r="B761" s="260"/>
      <c r="C761" s="21" t="s">
        <v>1091</v>
      </c>
      <c r="D761" s="16" t="s">
        <v>1092</v>
      </c>
      <c r="E761" s="1" t="s">
        <v>19</v>
      </c>
      <c r="F761" s="193">
        <v>271.36</v>
      </c>
      <c r="G761" s="193">
        <v>271.36</v>
      </c>
      <c r="H761" s="101">
        <v>0</v>
      </c>
      <c r="I761" s="101">
        <v>0</v>
      </c>
      <c r="J761" s="101">
        <v>0</v>
      </c>
      <c r="K761" s="16" t="s">
        <v>149</v>
      </c>
    </row>
    <row r="762" spans="1:11" s="28" customFormat="1" ht="47.4" customHeight="1" x14ac:dyDescent="0.3">
      <c r="A762" s="53">
        <v>697</v>
      </c>
      <c r="B762" s="260"/>
      <c r="C762" s="21" t="s">
        <v>1093</v>
      </c>
      <c r="D762" s="16" t="s">
        <v>1094</v>
      </c>
      <c r="E762" s="1" t="s">
        <v>19</v>
      </c>
      <c r="F762" s="193">
        <v>13442.67</v>
      </c>
      <c r="G762" s="193">
        <v>13442.67</v>
      </c>
      <c r="H762" s="101">
        <v>0</v>
      </c>
      <c r="I762" s="101">
        <v>0</v>
      </c>
      <c r="J762" s="101">
        <v>0</v>
      </c>
      <c r="K762" s="16" t="s">
        <v>1066</v>
      </c>
    </row>
    <row r="763" spans="1:11" s="28" customFormat="1" ht="58.2" customHeight="1" x14ac:dyDescent="0.3">
      <c r="A763" s="53">
        <v>698</v>
      </c>
      <c r="B763" s="260"/>
      <c r="C763" s="21" t="s">
        <v>1095</v>
      </c>
      <c r="D763" s="16" t="s">
        <v>1096</v>
      </c>
      <c r="E763" s="1" t="s">
        <v>19</v>
      </c>
      <c r="F763" s="193">
        <v>8554.9500000000007</v>
      </c>
      <c r="G763" s="193">
        <v>8554.9500000000007</v>
      </c>
      <c r="H763" s="101">
        <v>0</v>
      </c>
      <c r="I763" s="101">
        <v>0</v>
      </c>
      <c r="J763" s="101">
        <v>0</v>
      </c>
      <c r="K763" s="16" t="s">
        <v>149</v>
      </c>
    </row>
    <row r="764" spans="1:11" s="28" customFormat="1" ht="27" customHeight="1" x14ac:dyDescent="0.3">
      <c r="A764" s="53">
        <v>699</v>
      </c>
      <c r="B764" s="260"/>
      <c r="C764" s="21" t="s">
        <v>1097</v>
      </c>
      <c r="D764" s="16" t="s">
        <v>1098</v>
      </c>
      <c r="E764" s="1" t="s">
        <v>19</v>
      </c>
      <c r="F764" s="193">
        <v>9877.61</v>
      </c>
      <c r="G764" s="193">
        <v>9877.61</v>
      </c>
      <c r="H764" s="101">
        <v>0</v>
      </c>
      <c r="I764" s="101">
        <v>0</v>
      </c>
      <c r="J764" s="101">
        <v>0</v>
      </c>
      <c r="K764" s="16" t="s">
        <v>149</v>
      </c>
    </row>
    <row r="765" spans="1:11" s="28" customFormat="1" ht="27" customHeight="1" x14ac:dyDescent="0.3">
      <c r="A765" s="53">
        <v>700</v>
      </c>
      <c r="B765" s="260"/>
      <c r="C765" s="21" t="s">
        <v>1099</v>
      </c>
      <c r="D765" s="16" t="s">
        <v>1100</v>
      </c>
      <c r="E765" s="1" t="s">
        <v>19</v>
      </c>
      <c r="F765" s="193">
        <v>665</v>
      </c>
      <c r="G765" s="193">
        <v>665</v>
      </c>
      <c r="H765" s="101">
        <v>0</v>
      </c>
      <c r="I765" s="101">
        <v>0</v>
      </c>
      <c r="J765" s="101">
        <v>0</v>
      </c>
      <c r="K765" s="16" t="s">
        <v>1066</v>
      </c>
    </row>
    <row r="766" spans="1:11" s="28" customFormat="1" ht="27" customHeight="1" x14ac:dyDescent="0.3">
      <c r="A766" s="53">
        <v>701</v>
      </c>
      <c r="B766" s="260"/>
      <c r="C766" s="21" t="s">
        <v>1101</v>
      </c>
      <c r="D766" s="16" t="s">
        <v>1074</v>
      </c>
      <c r="E766" s="1" t="s">
        <v>19</v>
      </c>
      <c r="F766" s="101">
        <v>12913.13</v>
      </c>
      <c r="G766" s="101">
        <v>12913.13</v>
      </c>
      <c r="H766" s="101">
        <v>0</v>
      </c>
      <c r="I766" s="101">
        <v>0</v>
      </c>
      <c r="J766" s="101">
        <v>0</v>
      </c>
      <c r="K766" s="16" t="s">
        <v>149</v>
      </c>
    </row>
    <row r="767" spans="1:11" s="28" customFormat="1" ht="27" customHeight="1" x14ac:dyDescent="0.3">
      <c r="A767" s="53">
        <v>702</v>
      </c>
      <c r="B767" s="261"/>
      <c r="C767" s="21" t="s">
        <v>1102</v>
      </c>
      <c r="D767" s="16" t="s">
        <v>1074</v>
      </c>
      <c r="E767" s="1" t="s">
        <v>19</v>
      </c>
      <c r="F767" s="101">
        <v>9933</v>
      </c>
      <c r="G767" s="101">
        <v>9933</v>
      </c>
      <c r="H767" s="101">
        <v>0</v>
      </c>
      <c r="I767" s="101">
        <v>0</v>
      </c>
      <c r="J767" s="101">
        <v>0</v>
      </c>
      <c r="K767" s="16" t="s">
        <v>149</v>
      </c>
    </row>
    <row r="768" spans="1:11" s="32" customFormat="1" ht="27" customHeight="1" x14ac:dyDescent="0.3">
      <c r="A768" s="240" t="s">
        <v>1145</v>
      </c>
      <c r="B768" s="240"/>
      <c r="C768" s="240"/>
      <c r="D768" s="31"/>
      <c r="E768" s="31"/>
      <c r="F768" s="134">
        <f>SUM(F747:F767)</f>
        <v>124839.76000000001</v>
      </c>
      <c r="G768" s="134">
        <f>SUM(G747:G767)</f>
        <v>124839.76000000001</v>
      </c>
      <c r="H768" s="134">
        <f>SUM(H747:H767)</f>
        <v>0</v>
      </c>
      <c r="I768" s="134">
        <f>SUM(I747:I767)</f>
        <v>0</v>
      </c>
      <c r="J768" s="134">
        <f>SUM(J747:J767)</f>
        <v>0</v>
      </c>
      <c r="K768" s="31"/>
    </row>
    <row r="769" spans="1:11" s="28" customFormat="1" ht="28.8" customHeight="1" x14ac:dyDescent="0.3">
      <c r="A769" s="13">
        <v>703</v>
      </c>
      <c r="B769" s="259" t="s">
        <v>1061</v>
      </c>
      <c r="C769" s="21" t="s">
        <v>1103</v>
      </c>
      <c r="D769" s="16" t="s">
        <v>1104</v>
      </c>
      <c r="E769" s="1" t="s">
        <v>19</v>
      </c>
      <c r="F769" s="109">
        <v>842.21</v>
      </c>
      <c r="G769" s="109">
        <v>0</v>
      </c>
      <c r="H769" s="101">
        <v>842.21</v>
      </c>
      <c r="I769" s="101">
        <v>0</v>
      </c>
      <c r="J769" s="101">
        <v>0</v>
      </c>
      <c r="K769" s="13" t="s">
        <v>1105</v>
      </c>
    </row>
    <row r="770" spans="1:11" s="28" customFormat="1" ht="39.6" x14ac:dyDescent="0.3">
      <c r="A770" s="13">
        <v>704</v>
      </c>
      <c r="B770" s="260"/>
      <c r="C770" s="21" t="s">
        <v>1106</v>
      </c>
      <c r="D770" s="16" t="s">
        <v>1063</v>
      </c>
      <c r="E770" s="1" t="s">
        <v>19</v>
      </c>
      <c r="F770" s="109">
        <v>9992</v>
      </c>
      <c r="G770" s="109">
        <v>0</v>
      </c>
      <c r="H770" s="101">
        <v>9992</v>
      </c>
      <c r="I770" s="101">
        <v>0</v>
      </c>
      <c r="J770" s="101">
        <v>0</v>
      </c>
      <c r="K770" s="13" t="s">
        <v>1107</v>
      </c>
    </row>
    <row r="771" spans="1:11" s="28" customFormat="1" ht="39.6" x14ac:dyDescent="0.3">
      <c r="A771" s="53">
        <v>705</v>
      </c>
      <c r="B771" s="260"/>
      <c r="C771" s="21" t="s">
        <v>1108</v>
      </c>
      <c r="D771" s="16" t="s">
        <v>1072</v>
      </c>
      <c r="E771" s="1" t="s">
        <v>19</v>
      </c>
      <c r="F771" s="109">
        <v>597.12</v>
      </c>
      <c r="G771" s="109">
        <v>0</v>
      </c>
      <c r="H771" s="101">
        <v>597.12</v>
      </c>
      <c r="I771" s="101">
        <v>0</v>
      </c>
      <c r="J771" s="101">
        <v>0</v>
      </c>
      <c r="K771" s="13" t="s">
        <v>1107</v>
      </c>
    </row>
    <row r="772" spans="1:11" s="28" customFormat="1" ht="52.8" x14ac:dyDescent="0.3">
      <c r="A772" s="53">
        <v>706</v>
      </c>
      <c r="B772" s="260"/>
      <c r="C772" s="21" t="s">
        <v>1109</v>
      </c>
      <c r="D772" s="16" t="s">
        <v>1110</v>
      </c>
      <c r="E772" s="1" t="s">
        <v>19</v>
      </c>
      <c r="F772" s="109">
        <v>563.88</v>
      </c>
      <c r="G772" s="109">
        <v>0</v>
      </c>
      <c r="H772" s="101">
        <v>563.88</v>
      </c>
      <c r="I772" s="101">
        <v>0</v>
      </c>
      <c r="J772" s="101">
        <v>0</v>
      </c>
      <c r="K772" s="13" t="s">
        <v>1107</v>
      </c>
    </row>
    <row r="773" spans="1:11" s="28" customFormat="1" ht="67.8" customHeight="1" x14ac:dyDescent="0.3">
      <c r="A773" s="53">
        <v>707</v>
      </c>
      <c r="B773" s="260"/>
      <c r="C773" s="21" t="s">
        <v>1111</v>
      </c>
      <c r="D773" s="16" t="s">
        <v>1112</v>
      </c>
      <c r="E773" s="1" t="s">
        <v>19</v>
      </c>
      <c r="F773" s="101">
        <v>2820.23</v>
      </c>
      <c r="G773" s="109">
        <v>0</v>
      </c>
      <c r="H773" s="101">
        <v>2820.23</v>
      </c>
      <c r="I773" s="101">
        <v>0</v>
      </c>
      <c r="J773" s="101">
        <v>0</v>
      </c>
      <c r="K773" s="13" t="s">
        <v>1107</v>
      </c>
    </row>
    <row r="774" spans="1:11" s="28" customFormat="1" ht="26.4" x14ac:dyDescent="0.3">
      <c r="A774" s="53">
        <v>708</v>
      </c>
      <c r="B774" s="260"/>
      <c r="C774" s="21" t="s">
        <v>1113</v>
      </c>
      <c r="D774" s="16" t="s">
        <v>137</v>
      </c>
      <c r="E774" s="1" t="s">
        <v>19</v>
      </c>
      <c r="F774" s="101">
        <v>1554.44</v>
      </c>
      <c r="G774" s="109">
        <v>0</v>
      </c>
      <c r="H774" s="101">
        <v>1554.44</v>
      </c>
      <c r="I774" s="101">
        <v>0</v>
      </c>
      <c r="J774" s="101">
        <v>0</v>
      </c>
      <c r="K774" s="13" t="s">
        <v>1107</v>
      </c>
    </row>
    <row r="775" spans="1:11" s="28" customFormat="1" ht="26.4" x14ac:dyDescent="0.3">
      <c r="A775" s="53">
        <v>709</v>
      </c>
      <c r="B775" s="260"/>
      <c r="C775" s="21" t="s">
        <v>1114</v>
      </c>
      <c r="D775" s="16" t="s">
        <v>137</v>
      </c>
      <c r="E775" s="1" t="s">
        <v>19</v>
      </c>
      <c r="F775" s="109">
        <v>157.88999999999999</v>
      </c>
      <c r="G775" s="109">
        <v>0</v>
      </c>
      <c r="H775" s="109">
        <v>157.88999999999999</v>
      </c>
      <c r="I775" s="101">
        <v>0</v>
      </c>
      <c r="J775" s="101">
        <v>0</v>
      </c>
      <c r="K775" s="13" t="s">
        <v>1107</v>
      </c>
    </row>
    <row r="776" spans="1:11" s="28" customFormat="1" ht="39.6" x14ac:dyDescent="0.3">
      <c r="A776" s="53">
        <v>710</v>
      </c>
      <c r="B776" s="260"/>
      <c r="C776" s="21" t="s">
        <v>1115</v>
      </c>
      <c r="D776" s="16" t="s">
        <v>1116</v>
      </c>
      <c r="E776" s="1" t="s">
        <v>19</v>
      </c>
      <c r="F776" s="109">
        <v>963.53</v>
      </c>
      <c r="G776" s="109">
        <v>0</v>
      </c>
      <c r="H776" s="109">
        <v>963.53</v>
      </c>
      <c r="I776" s="101">
        <v>0</v>
      </c>
      <c r="J776" s="101">
        <v>0</v>
      </c>
      <c r="K776" s="13" t="s">
        <v>1107</v>
      </c>
    </row>
    <row r="777" spans="1:11" s="28" customFormat="1" ht="39.6" x14ac:dyDescent="0.3">
      <c r="A777" s="53">
        <v>711</v>
      </c>
      <c r="B777" s="260"/>
      <c r="C777" s="21" t="s">
        <v>1117</v>
      </c>
      <c r="D777" s="16" t="s">
        <v>1118</v>
      </c>
      <c r="E777" s="1" t="s">
        <v>19</v>
      </c>
      <c r="F777" s="109">
        <v>3281.85</v>
      </c>
      <c r="G777" s="109">
        <v>0</v>
      </c>
      <c r="H777" s="109">
        <v>3281.85</v>
      </c>
      <c r="I777" s="101">
        <v>0</v>
      </c>
      <c r="J777" s="101">
        <v>0</v>
      </c>
      <c r="K777" s="13" t="s">
        <v>1107</v>
      </c>
    </row>
    <row r="778" spans="1:11" s="28" customFormat="1" ht="26.4" x14ac:dyDescent="0.3">
      <c r="A778" s="53">
        <v>712</v>
      </c>
      <c r="B778" s="260"/>
      <c r="C778" s="21" t="s">
        <v>1119</v>
      </c>
      <c r="D778" s="16" t="s">
        <v>1092</v>
      </c>
      <c r="E778" s="1" t="s">
        <v>19</v>
      </c>
      <c r="F778" s="101">
        <v>283.8</v>
      </c>
      <c r="G778" s="109">
        <v>0</v>
      </c>
      <c r="H778" s="101">
        <v>283.8</v>
      </c>
      <c r="I778" s="101">
        <v>0</v>
      </c>
      <c r="J778" s="101">
        <v>0</v>
      </c>
      <c r="K778" s="13" t="s">
        <v>1105</v>
      </c>
    </row>
    <row r="779" spans="1:11" s="28" customFormat="1" ht="26.4" x14ac:dyDescent="0.3">
      <c r="A779" s="53">
        <v>713</v>
      </c>
      <c r="B779" s="260"/>
      <c r="C779" s="21" t="s">
        <v>1120</v>
      </c>
      <c r="D779" s="16" t="s">
        <v>1070</v>
      </c>
      <c r="E779" s="1" t="s">
        <v>19</v>
      </c>
      <c r="F779" s="101">
        <v>3769.06</v>
      </c>
      <c r="G779" s="109">
        <v>0</v>
      </c>
      <c r="H779" s="101">
        <v>3769.06</v>
      </c>
      <c r="I779" s="101">
        <v>0</v>
      </c>
      <c r="J779" s="101">
        <v>0</v>
      </c>
      <c r="K779" s="13" t="s">
        <v>1105</v>
      </c>
    </row>
    <row r="780" spans="1:11" s="28" customFormat="1" ht="52.8" x14ac:dyDescent="0.3">
      <c r="A780" s="53">
        <v>714</v>
      </c>
      <c r="B780" s="260"/>
      <c r="C780" s="21" t="s">
        <v>1121</v>
      </c>
      <c r="D780" s="16" t="s">
        <v>1076</v>
      </c>
      <c r="E780" s="1" t="s">
        <v>19</v>
      </c>
      <c r="F780" s="101">
        <v>8701.1200000000008</v>
      </c>
      <c r="G780" s="109">
        <v>0</v>
      </c>
      <c r="H780" s="101">
        <v>8701.1200000000008</v>
      </c>
      <c r="I780" s="101">
        <v>0</v>
      </c>
      <c r="J780" s="101">
        <v>0</v>
      </c>
      <c r="K780" s="13" t="s">
        <v>1105</v>
      </c>
    </row>
    <row r="781" spans="1:11" s="28" customFormat="1" ht="52.8" x14ac:dyDescent="0.3">
      <c r="A781" s="53">
        <v>715</v>
      </c>
      <c r="B781" s="260"/>
      <c r="C781" s="21" t="s">
        <v>1122</v>
      </c>
      <c r="D781" s="16" t="s">
        <v>1123</v>
      </c>
      <c r="E781" s="1" t="s">
        <v>19</v>
      </c>
      <c r="F781" s="101">
        <v>16148.87</v>
      </c>
      <c r="G781" s="109">
        <v>0</v>
      </c>
      <c r="H781" s="101">
        <v>16148.87</v>
      </c>
      <c r="I781" s="101">
        <v>0</v>
      </c>
      <c r="J781" s="101">
        <v>0</v>
      </c>
      <c r="K781" s="13" t="s">
        <v>1105</v>
      </c>
    </row>
    <row r="782" spans="1:11" s="28" customFormat="1" ht="52.8" x14ac:dyDescent="0.3">
      <c r="A782" s="53">
        <v>716</v>
      </c>
      <c r="B782" s="260"/>
      <c r="C782" s="21" t="s">
        <v>1124</v>
      </c>
      <c r="D782" s="16" t="s">
        <v>1125</v>
      </c>
      <c r="E782" s="1" t="s">
        <v>19</v>
      </c>
      <c r="F782" s="101">
        <v>2343.54</v>
      </c>
      <c r="G782" s="109">
        <v>0</v>
      </c>
      <c r="H782" s="101">
        <v>2343.54</v>
      </c>
      <c r="I782" s="101">
        <v>0</v>
      </c>
      <c r="J782" s="101">
        <v>0</v>
      </c>
      <c r="K782" s="13" t="s">
        <v>1105</v>
      </c>
    </row>
    <row r="783" spans="1:11" s="28" customFormat="1" ht="39.6" x14ac:dyDescent="0.3">
      <c r="A783" s="53">
        <v>717</v>
      </c>
      <c r="B783" s="261"/>
      <c r="C783" s="21" t="s">
        <v>1126</v>
      </c>
      <c r="D783" s="16" t="s">
        <v>1127</v>
      </c>
      <c r="E783" s="1" t="s">
        <v>19</v>
      </c>
      <c r="F783" s="101">
        <v>1062.95</v>
      </c>
      <c r="G783" s="109">
        <v>0</v>
      </c>
      <c r="H783" s="101">
        <v>1062.95</v>
      </c>
      <c r="I783" s="101">
        <v>0</v>
      </c>
      <c r="J783" s="101">
        <v>0</v>
      </c>
      <c r="K783" s="13" t="s">
        <v>1105</v>
      </c>
    </row>
    <row r="784" spans="1:11" s="32" customFormat="1" ht="30.6" customHeight="1" x14ac:dyDescent="0.3">
      <c r="A784" s="240" t="s">
        <v>1146</v>
      </c>
      <c r="B784" s="240"/>
      <c r="C784" s="240"/>
      <c r="D784" s="31"/>
      <c r="E784" s="31"/>
      <c r="F784" s="134">
        <f>SUM(F769:F783)</f>
        <v>53082.49</v>
      </c>
      <c r="G784" s="134">
        <f>SUM(G769:G783)</f>
        <v>0</v>
      </c>
      <c r="H784" s="134">
        <f>SUM(H769:H783)</f>
        <v>53082.49</v>
      </c>
      <c r="I784" s="134">
        <f>SUM(I769:I783)</f>
        <v>0</v>
      </c>
      <c r="J784" s="134">
        <f>SUM(J769:J783)</f>
        <v>0</v>
      </c>
      <c r="K784" s="31"/>
    </row>
    <row r="785" spans="1:11" s="28" customFormat="1" ht="26.4" x14ac:dyDescent="0.3">
      <c r="A785" s="13">
        <v>718</v>
      </c>
      <c r="B785" s="259" t="s">
        <v>1061</v>
      </c>
      <c r="C785" s="21" t="s">
        <v>1128</v>
      </c>
      <c r="D785" s="16" t="s">
        <v>1104</v>
      </c>
      <c r="E785" s="1" t="s">
        <v>19</v>
      </c>
      <c r="F785" s="101">
        <v>842.21</v>
      </c>
      <c r="G785" s="109">
        <v>0</v>
      </c>
      <c r="H785" s="101">
        <v>0</v>
      </c>
      <c r="I785" s="101">
        <v>842.21</v>
      </c>
      <c r="J785" s="101">
        <v>0</v>
      </c>
      <c r="K785" s="13" t="s">
        <v>1129</v>
      </c>
    </row>
    <row r="786" spans="1:11" s="28" customFormat="1" ht="39.6" x14ac:dyDescent="0.3">
      <c r="A786" s="13">
        <v>719</v>
      </c>
      <c r="B786" s="260"/>
      <c r="C786" s="21" t="s">
        <v>1130</v>
      </c>
      <c r="D786" s="16" t="s">
        <v>1063</v>
      </c>
      <c r="E786" s="1" t="s">
        <v>19</v>
      </c>
      <c r="F786" s="101">
        <v>9992</v>
      </c>
      <c r="G786" s="109">
        <v>0</v>
      </c>
      <c r="H786" s="101">
        <v>0</v>
      </c>
      <c r="I786" s="101">
        <v>9992</v>
      </c>
      <c r="J786" s="101">
        <v>0</v>
      </c>
      <c r="K786" s="13" t="s">
        <v>1129</v>
      </c>
    </row>
    <row r="787" spans="1:11" s="28" customFormat="1" ht="39.6" x14ac:dyDescent="0.3">
      <c r="A787" s="53">
        <v>720</v>
      </c>
      <c r="B787" s="260"/>
      <c r="C787" s="21" t="s">
        <v>1131</v>
      </c>
      <c r="D787" s="16" t="s">
        <v>1072</v>
      </c>
      <c r="E787" s="1" t="s">
        <v>19</v>
      </c>
      <c r="F787" s="101">
        <v>597.12</v>
      </c>
      <c r="G787" s="109">
        <v>0</v>
      </c>
      <c r="H787" s="101">
        <v>0</v>
      </c>
      <c r="I787" s="101">
        <v>597.12</v>
      </c>
      <c r="J787" s="101">
        <v>0</v>
      </c>
      <c r="K787" s="13" t="s">
        <v>1129</v>
      </c>
    </row>
    <row r="788" spans="1:11" s="28" customFormat="1" ht="52.8" x14ac:dyDescent="0.3">
      <c r="A788" s="53">
        <v>721</v>
      </c>
      <c r="B788" s="260"/>
      <c r="C788" s="21" t="s">
        <v>1132</v>
      </c>
      <c r="D788" s="16" t="s">
        <v>1110</v>
      </c>
      <c r="E788" s="1" t="s">
        <v>19</v>
      </c>
      <c r="F788" s="101">
        <v>524.44000000000005</v>
      </c>
      <c r="G788" s="109">
        <v>0</v>
      </c>
      <c r="H788" s="101">
        <v>0</v>
      </c>
      <c r="I788" s="101">
        <v>524.44000000000005</v>
      </c>
      <c r="J788" s="101">
        <v>0</v>
      </c>
      <c r="K788" s="13" t="s">
        <v>1129</v>
      </c>
    </row>
    <row r="789" spans="1:11" s="28" customFormat="1" ht="75.599999999999994" customHeight="1" x14ac:dyDescent="0.3">
      <c r="A789" s="53">
        <v>722</v>
      </c>
      <c r="B789" s="260"/>
      <c r="C789" s="21" t="s">
        <v>1133</v>
      </c>
      <c r="D789" s="16" t="s">
        <v>1112</v>
      </c>
      <c r="E789" s="1" t="s">
        <v>19</v>
      </c>
      <c r="F789" s="101">
        <v>2661.94</v>
      </c>
      <c r="G789" s="109">
        <v>0</v>
      </c>
      <c r="H789" s="101">
        <v>0</v>
      </c>
      <c r="I789" s="101">
        <v>2661.94</v>
      </c>
      <c r="J789" s="101">
        <v>0</v>
      </c>
      <c r="K789" s="13" t="s">
        <v>1129</v>
      </c>
    </row>
    <row r="790" spans="1:11" s="28" customFormat="1" ht="26.4" x14ac:dyDescent="0.3">
      <c r="A790" s="53">
        <v>723</v>
      </c>
      <c r="B790" s="260"/>
      <c r="C790" s="21" t="s">
        <v>1134</v>
      </c>
      <c r="D790" s="16" t="s">
        <v>137</v>
      </c>
      <c r="E790" s="1" t="s">
        <v>19</v>
      </c>
      <c r="F790" s="101">
        <v>1448.47</v>
      </c>
      <c r="G790" s="109">
        <v>0</v>
      </c>
      <c r="H790" s="101">
        <v>0</v>
      </c>
      <c r="I790" s="101">
        <v>1448.47</v>
      </c>
      <c r="J790" s="101">
        <v>0</v>
      </c>
      <c r="K790" s="13" t="s">
        <v>1129</v>
      </c>
    </row>
    <row r="791" spans="1:11" s="28" customFormat="1" ht="26.4" x14ac:dyDescent="0.3">
      <c r="A791" s="53">
        <v>724</v>
      </c>
      <c r="B791" s="260"/>
      <c r="C791" s="21" t="s">
        <v>1135</v>
      </c>
      <c r="D791" s="16" t="s">
        <v>137</v>
      </c>
      <c r="E791" s="1" t="s">
        <v>19</v>
      </c>
      <c r="F791" s="101">
        <v>129.69</v>
      </c>
      <c r="G791" s="109">
        <v>0</v>
      </c>
      <c r="H791" s="101">
        <v>0</v>
      </c>
      <c r="I791" s="101">
        <v>129.69</v>
      </c>
      <c r="J791" s="101">
        <v>0</v>
      </c>
      <c r="K791" s="13" t="s">
        <v>1129</v>
      </c>
    </row>
    <row r="792" spans="1:11" s="28" customFormat="1" ht="39.6" x14ac:dyDescent="0.3">
      <c r="A792" s="53">
        <v>725</v>
      </c>
      <c r="B792" s="260"/>
      <c r="C792" s="21" t="s">
        <v>1136</v>
      </c>
      <c r="D792" s="16" t="s">
        <v>1116</v>
      </c>
      <c r="E792" s="1" t="s">
        <v>19</v>
      </c>
      <c r="F792" s="101">
        <v>963.53</v>
      </c>
      <c r="G792" s="109">
        <v>0</v>
      </c>
      <c r="H792" s="101">
        <v>0</v>
      </c>
      <c r="I792" s="101">
        <v>963.53</v>
      </c>
      <c r="J792" s="101">
        <v>0</v>
      </c>
      <c r="K792" s="13" t="s">
        <v>1137</v>
      </c>
    </row>
    <row r="793" spans="1:11" s="28" customFormat="1" ht="39.6" x14ac:dyDescent="0.3">
      <c r="A793" s="53">
        <v>726</v>
      </c>
      <c r="B793" s="260"/>
      <c r="C793" s="21" t="s">
        <v>1138</v>
      </c>
      <c r="D793" s="16" t="s">
        <v>1118</v>
      </c>
      <c r="E793" s="1" t="s">
        <v>19</v>
      </c>
      <c r="F793" s="101">
        <v>3281.85</v>
      </c>
      <c r="G793" s="109">
        <v>0</v>
      </c>
      <c r="H793" s="101">
        <v>0</v>
      </c>
      <c r="I793" s="101">
        <v>3281.85</v>
      </c>
      <c r="J793" s="101">
        <v>0</v>
      </c>
      <c r="K793" s="13" t="s">
        <v>1137</v>
      </c>
    </row>
    <row r="794" spans="1:11" s="28" customFormat="1" ht="26.4" x14ac:dyDescent="0.3">
      <c r="A794" s="53">
        <v>727</v>
      </c>
      <c r="B794" s="260"/>
      <c r="C794" s="21" t="s">
        <v>1139</v>
      </c>
      <c r="D794" s="16" t="s">
        <v>1092</v>
      </c>
      <c r="E794" s="1" t="s">
        <v>19</v>
      </c>
      <c r="F794" s="101">
        <v>283.8</v>
      </c>
      <c r="G794" s="109">
        <v>0</v>
      </c>
      <c r="H794" s="101">
        <v>0</v>
      </c>
      <c r="I794" s="101">
        <v>283.8</v>
      </c>
      <c r="J794" s="101">
        <v>0</v>
      </c>
      <c r="K794" s="13" t="s">
        <v>1137</v>
      </c>
    </row>
    <row r="795" spans="1:11" s="28" customFormat="1" ht="26.4" x14ac:dyDescent="0.3">
      <c r="A795" s="53">
        <v>728</v>
      </c>
      <c r="B795" s="260"/>
      <c r="C795" s="21" t="s">
        <v>1140</v>
      </c>
      <c r="D795" s="16" t="s">
        <v>1070</v>
      </c>
      <c r="E795" s="1" t="s">
        <v>19</v>
      </c>
      <c r="F795" s="101">
        <v>3241.65</v>
      </c>
      <c r="G795" s="109">
        <v>0</v>
      </c>
      <c r="H795" s="101">
        <v>0</v>
      </c>
      <c r="I795" s="101">
        <v>3241.65</v>
      </c>
      <c r="J795" s="101">
        <v>0</v>
      </c>
      <c r="K795" s="13" t="s">
        <v>1137</v>
      </c>
    </row>
    <row r="796" spans="1:11" s="28" customFormat="1" ht="52.8" x14ac:dyDescent="0.3">
      <c r="A796" s="53">
        <v>729</v>
      </c>
      <c r="B796" s="260"/>
      <c r="C796" s="21" t="s">
        <v>1141</v>
      </c>
      <c r="D796" s="16" t="s">
        <v>1076</v>
      </c>
      <c r="E796" s="1" t="s">
        <v>19</v>
      </c>
      <c r="F796" s="101">
        <v>8777.2900000000009</v>
      </c>
      <c r="G796" s="109">
        <v>0</v>
      </c>
      <c r="H796" s="101">
        <v>0</v>
      </c>
      <c r="I796" s="101">
        <v>8777.2900000000009</v>
      </c>
      <c r="J796" s="101">
        <v>0</v>
      </c>
      <c r="K796" s="13" t="s">
        <v>1137</v>
      </c>
    </row>
    <row r="797" spans="1:11" s="28" customFormat="1" ht="52.8" x14ac:dyDescent="0.3">
      <c r="A797" s="53">
        <v>730</v>
      </c>
      <c r="B797" s="260"/>
      <c r="C797" s="21" t="s">
        <v>1142</v>
      </c>
      <c r="D797" s="16" t="s">
        <v>1125</v>
      </c>
      <c r="E797" s="1" t="s">
        <v>19</v>
      </c>
      <c r="F797" s="101">
        <v>2531.58</v>
      </c>
      <c r="G797" s="109">
        <v>0</v>
      </c>
      <c r="H797" s="101">
        <v>0</v>
      </c>
      <c r="I797" s="101">
        <v>2531.58</v>
      </c>
      <c r="J797" s="101">
        <v>0</v>
      </c>
      <c r="K797" s="13" t="s">
        <v>1143</v>
      </c>
    </row>
    <row r="798" spans="1:11" s="28" customFormat="1" ht="39.6" x14ac:dyDescent="0.3">
      <c r="A798" s="53">
        <v>731</v>
      </c>
      <c r="B798" s="261"/>
      <c r="C798" s="21" t="s">
        <v>1144</v>
      </c>
      <c r="D798" s="16" t="s">
        <v>1127</v>
      </c>
      <c r="E798" s="1" t="s">
        <v>19</v>
      </c>
      <c r="F798" s="101">
        <v>1026.48</v>
      </c>
      <c r="G798" s="109">
        <v>0</v>
      </c>
      <c r="H798" s="101">
        <v>0</v>
      </c>
      <c r="I798" s="101">
        <v>1026.48</v>
      </c>
      <c r="J798" s="101">
        <v>0</v>
      </c>
      <c r="K798" s="13" t="s">
        <v>1143</v>
      </c>
    </row>
    <row r="799" spans="1:11" s="32" customFormat="1" ht="31.8" customHeight="1" x14ac:dyDescent="0.3">
      <c r="A799" s="240" t="s">
        <v>1147</v>
      </c>
      <c r="B799" s="240"/>
      <c r="C799" s="240"/>
      <c r="D799" s="31"/>
      <c r="E799" s="31"/>
      <c r="F799" s="134">
        <f>SUM(F785:F797)</f>
        <v>35275.57</v>
      </c>
      <c r="G799" s="134">
        <f>SUM(G785:G797)</f>
        <v>0</v>
      </c>
      <c r="H799" s="134">
        <f>SUM(H785:H797)</f>
        <v>0</v>
      </c>
      <c r="I799" s="134">
        <f>SUM(I785:I797)</f>
        <v>35275.57</v>
      </c>
      <c r="J799" s="134">
        <f>SUM(J785:J797)</f>
        <v>0</v>
      </c>
      <c r="K799" s="31"/>
    </row>
    <row r="800" spans="1:11" s="28" customFormat="1" ht="42.6" customHeight="1" x14ac:dyDescent="0.3">
      <c r="A800" s="13">
        <v>732</v>
      </c>
      <c r="B800" s="242" t="s">
        <v>1148</v>
      </c>
      <c r="C800" s="1" t="s">
        <v>1149</v>
      </c>
      <c r="D800" s="1" t="s">
        <v>1150</v>
      </c>
      <c r="E800" s="1" t="s">
        <v>18</v>
      </c>
      <c r="F800" s="101">
        <v>4644</v>
      </c>
      <c r="G800" s="101">
        <v>4644</v>
      </c>
      <c r="H800" s="101">
        <v>0</v>
      </c>
      <c r="I800" s="101">
        <v>0</v>
      </c>
      <c r="J800" s="101">
        <v>0</v>
      </c>
      <c r="K800" s="16" t="s">
        <v>555</v>
      </c>
    </row>
    <row r="801" spans="1:11" s="28" customFormat="1" ht="39.6" x14ac:dyDescent="0.3">
      <c r="A801" s="13">
        <v>733</v>
      </c>
      <c r="B801" s="243"/>
      <c r="C801" s="1" t="s">
        <v>1151</v>
      </c>
      <c r="D801" s="1" t="s">
        <v>1152</v>
      </c>
      <c r="E801" s="1" t="s">
        <v>18</v>
      </c>
      <c r="F801" s="101">
        <v>3911.2264799999998</v>
      </c>
      <c r="G801" s="101">
        <v>3911.2264799999998</v>
      </c>
      <c r="H801" s="101">
        <v>0</v>
      </c>
      <c r="I801" s="101">
        <v>0</v>
      </c>
      <c r="J801" s="101">
        <v>0</v>
      </c>
      <c r="K801" s="16" t="s">
        <v>555</v>
      </c>
    </row>
    <row r="802" spans="1:11" s="28" customFormat="1" ht="52.8" x14ac:dyDescent="0.3">
      <c r="A802" s="53">
        <v>734</v>
      </c>
      <c r="B802" s="243"/>
      <c r="C802" s="1" t="s">
        <v>1153</v>
      </c>
      <c r="D802" s="1" t="s">
        <v>1154</v>
      </c>
      <c r="E802" s="1" t="s">
        <v>18</v>
      </c>
      <c r="F802" s="101">
        <v>3060.7559999999999</v>
      </c>
      <c r="G802" s="101">
        <v>3060.7559999999999</v>
      </c>
      <c r="H802" s="101">
        <v>0</v>
      </c>
      <c r="I802" s="101">
        <v>0</v>
      </c>
      <c r="J802" s="101">
        <v>0</v>
      </c>
      <c r="K802" s="16" t="s">
        <v>166</v>
      </c>
    </row>
    <row r="803" spans="1:11" s="28" customFormat="1" ht="52.8" x14ac:dyDescent="0.3">
      <c r="A803" s="53">
        <v>735</v>
      </c>
      <c r="B803" s="243"/>
      <c r="C803" s="1" t="s">
        <v>1155</v>
      </c>
      <c r="D803" s="1" t="s">
        <v>1156</v>
      </c>
      <c r="E803" s="1" t="s">
        <v>18</v>
      </c>
      <c r="F803" s="101">
        <v>2437.9587999999999</v>
      </c>
      <c r="G803" s="101">
        <v>2437.9587999999999</v>
      </c>
      <c r="H803" s="101">
        <v>0</v>
      </c>
      <c r="I803" s="101">
        <v>0</v>
      </c>
      <c r="J803" s="101">
        <v>0</v>
      </c>
      <c r="K803" s="16" t="s">
        <v>555</v>
      </c>
    </row>
    <row r="804" spans="1:11" s="28" customFormat="1" ht="39.6" customHeight="1" x14ac:dyDescent="0.3">
      <c r="A804" s="53">
        <v>736</v>
      </c>
      <c r="B804" s="243"/>
      <c r="C804" s="1" t="s">
        <v>1157</v>
      </c>
      <c r="D804" s="1" t="s">
        <v>1158</v>
      </c>
      <c r="E804" s="1" t="s">
        <v>18</v>
      </c>
      <c r="F804" s="101">
        <v>5715.8348400000004</v>
      </c>
      <c r="G804" s="101">
        <v>5715.8348400000004</v>
      </c>
      <c r="H804" s="101">
        <v>0</v>
      </c>
      <c r="I804" s="101">
        <v>0</v>
      </c>
      <c r="J804" s="101">
        <v>0</v>
      </c>
      <c r="K804" s="16" t="s">
        <v>166</v>
      </c>
    </row>
    <row r="805" spans="1:11" s="28" customFormat="1" ht="26.4" x14ac:dyDescent="0.3">
      <c r="A805" s="53">
        <v>737</v>
      </c>
      <c r="B805" s="243"/>
      <c r="C805" s="1" t="s">
        <v>1159</v>
      </c>
      <c r="D805" s="1" t="s">
        <v>1160</v>
      </c>
      <c r="E805" s="1" t="s">
        <v>19</v>
      </c>
      <c r="F805" s="101">
        <v>13860.08568</v>
      </c>
      <c r="G805" s="101">
        <v>13860.08568</v>
      </c>
      <c r="H805" s="101">
        <v>0</v>
      </c>
      <c r="I805" s="101">
        <v>0</v>
      </c>
      <c r="J805" s="101">
        <v>0</v>
      </c>
      <c r="K805" s="16" t="s">
        <v>166</v>
      </c>
    </row>
    <row r="806" spans="1:11" s="28" customFormat="1" ht="32.4" customHeight="1" x14ac:dyDescent="0.3">
      <c r="A806" s="53">
        <v>738</v>
      </c>
      <c r="B806" s="243"/>
      <c r="C806" s="1" t="s">
        <v>1161</v>
      </c>
      <c r="D806" s="1" t="s">
        <v>1162</v>
      </c>
      <c r="E806" s="1" t="s">
        <v>18</v>
      </c>
      <c r="F806" s="193">
        <v>5787.8666800000001</v>
      </c>
      <c r="G806" s="193">
        <v>5787.8666800000001</v>
      </c>
      <c r="H806" s="101">
        <v>0</v>
      </c>
      <c r="I806" s="101">
        <v>0</v>
      </c>
      <c r="J806" s="101">
        <v>0</v>
      </c>
      <c r="K806" s="16" t="s">
        <v>166</v>
      </c>
    </row>
    <row r="807" spans="1:11" s="28" customFormat="1" ht="45" customHeight="1" x14ac:dyDescent="0.3">
      <c r="A807" s="53">
        <v>739</v>
      </c>
      <c r="B807" s="243"/>
      <c r="C807" s="1" t="s">
        <v>1163</v>
      </c>
      <c r="D807" s="1" t="s">
        <v>1164</v>
      </c>
      <c r="E807" s="1" t="s">
        <v>18</v>
      </c>
      <c r="F807" s="193">
        <v>2825.6312200000002</v>
      </c>
      <c r="G807" s="193">
        <v>2825.6312200000002</v>
      </c>
      <c r="H807" s="101">
        <v>0</v>
      </c>
      <c r="I807" s="101">
        <v>0</v>
      </c>
      <c r="J807" s="101">
        <v>0</v>
      </c>
      <c r="K807" s="16" t="s">
        <v>166</v>
      </c>
    </row>
    <row r="808" spans="1:11" s="28" customFormat="1" ht="39.6" x14ac:dyDescent="0.3">
      <c r="A808" s="53">
        <v>740</v>
      </c>
      <c r="B808" s="243"/>
      <c r="C808" s="1" t="s">
        <v>1165</v>
      </c>
      <c r="D808" s="1" t="s">
        <v>1166</v>
      </c>
      <c r="E808" s="1" t="s">
        <v>18</v>
      </c>
      <c r="F808" s="193">
        <v>2825.6312200000002</v>
      </c>
      <c r="G808" s="193">
        <v>2825.6312200000002</v>
      </c>
      <c r="H808" s="101">
        <v>0</v>
      </c>
      <c r="I808" s="101">
        <v>0</v>
      </c>
      <c r="J808" s="101">
        <v>0</v>
      </c>
      <c r="K808" s="16" t="s">
        <v>166</v>
      </c>
    </row>
    <row r="809" spans="1:11" s="28" customFormat="1" ht="52.8" x14ac:dyDescent="0.3">
      <c r="A809" s="53">
        <v>741</v>
      </c>
      <c r="B809" s="243"/>
      <c r="C809" s="1" t="s">
        <v>1167</v>
      </c>
      <c r="D809" s="1" t="s">
        <v>1168</v>
      </c>
      <c r="E809" s="1" t="s">
        <v>18</v>
      </c>
      <c r="F809" s="193">
        <v>2825.6312200000002</v>
      </c>
      <c r="G809" s="193">
        <v>2825.6312200000002</v>
      </c>
      <c r="H809" s="101">
        <v>0</v>
      </c>
      <c r="I809" s="101">
        <v>0</v>
      </c>
      <c r="J809" s="101">
        <v>0</v>
      </c>
      <c r="K809" s="16" t="s">
        <v>166</v>
      </c>
    </row>
    <row r="810" spans="1:11" s="28" customFormat="1" ht="66" x14ac:dyDescent="0.3">
      <c r="A810" s="53">
        <v>742</v>
      </c>
      <c r="B810" s="243"/>
      <c r="C810" s="1" t="s">
        <v>1169</v>
      </c>
      <c r="D810" s="1" t="s">
        <v>1170</v>
      </c>
      <c r="E810" s="1" t="s">
        <v>18</v>
      </c>
      <c r="F810" s="193">
        <v>2825.6312200000002</v>
      </c>
      <c r="G810" s="193">
        <v>2825.6312200000002</v>
      </c>
      <c r="H810" s="101">
        <v>0</v>
      </c>
      <c r="I810" s="101">
        <v>0</v>
      </c>
      <c r="J810" s="101">
        <v>0</v>
      </c>
      <c r="K810" s="16" t="s">
        <v>166</v>
      </c>
    </row>
    <row r="811" spans="1:11" s="28" customFormat="1" ht="39.6" x14ac:dyDescent="0.3">
      <c r="A811" s="53">
        <v>743</v>
      </c>
      <c r="B811" s="243"/>
      <c r="C811" s="1" t="s">
        <v>1171</v>
      </c>
      <c r="D811" s="1" t="s">
        <v>1172</v>
      </c>
      <c r="E811" s="1" t="s">
        <v>18</v>
      </c>
      <c r="F811" s="193">
        <v>2825.6312200000002</v>
      </c>
      <c r="G811" s="193">
        <v>2825.6312200000002</v>
      </c>
      <c r="H811" s="101">
        <v>0</v>
      </c>
      <c r="I811" s="101">
        <v>0</v>
      </c>
      <c r="J811" s="101">
        <v>0</v>
      </c>
      <c r="K811" s="16" t="s">
        <v>166</v>
      </c>
    </row>
    <row r="812" spans="1:11" s="28" customFormat="1" ht="52.8" x14ac:dyDescent="0.3">
      <c r="A812" s="53">
        <v>744</v>
      </c>
      <c r="B812" s="243"/>
      <c r="C812" s="1" t="s">
        <v>1173</v>
      </c>
      <c r="D812" s="1" t="s">
        <v>1174</v>
      </c>
      <c r="E812" s="1" t="s">
        <v>18</v>
      </c>
      <c r="F812" s="193">
        <v>2825.6312200000002</v>
      </c>
      <c r="G812" s="193">
        <v>2825.6312200000002</v>
      </c>
      <c r="H812" s="101">
        <v>0</v>
      </c>
      <c r="I812" s="101">
        <v>0</v>
      </c>
      <c r="J812" s="101">
        <v>0</v>
      </c>
      <c r="K812" s="16" t="s">
        <v>166</v>
      </c>
    </row>
    <row r="813" spans="1:11" s="28" customFormat="1" ht="52.8" x14ac:dyDescent="0.3">
      <c r="A813" s="53">
        <v>745</v>
      </c>
      <c r="B813" s="243"/>
      <c r="C813" s="1" t="s">
        <v>1175</v>
      </c>
      <c r="D813" s="1" t="s">
        <v>1176</v>
      </c>
      <c r="E813" s="1" t="s">
        <v>18</v>
      </c>
      <c r="F813" s="193">
        <v>449.75170000000003</v>
      </c>
      <c r="G813" s="193">
        <v>449.75170000000003</v>
      </c>
      <c r="H813" s="101">
        <v>0</v>
      </c>
      <c r="I813" s="101">
        <v>0</v>
      </c>
      <c r="J813" s="101">
        <v>0</v>
      </c>
      <c r="K813" s="16" t="s">
        <v>166</v>
      </c>
    </row>
    <row r="814" spans="1:11" s="28" customFormat="1" ht="39.6" x14ac:dyDescent="0.3">
      <c r="A814" s="53">
        <v>746</v>
      </c>
      <c r="B814" s="243"/>
      <c r="C814" s="1" t="s">
        <v>1177</v>
      </c>
      <c r="D814" s="1" t="s">
        <v>1178</v>
      </c>
      <c r="E814" s="1" t="s">
        <v>18</v>
      </c>
      <c r="F814" s="193">
        <v>887.22097999999994</v>
      </c>
      <c r="G814" s="193">
        <v>887.22097999999994</v>
      </c>
      <c r="H814" s="101">
        <v>0</v>
      </c>
      <c r="I814" s="101">
        <v>0</v>
      </c>
      <c r="J814" s="101">
        <v>0</v>
      </c>
      <c r="K814" s="16" t="s">
        <v>166</v>
      </c>
    </row>
    <row r="815" spans="1:11" s="28" customFormat="1" ht="39.6" x14ac:dyDescent="0.3">
      <c r="A815" s="53">
        <v>747</v>
      </c>
      <c r="B815" s="243"/>
      <c r="C815" s="1" t="s">
        <v>1179</v>
      </c>
      <c r="D815" s="1" t="s">
        <v>1180</v>
      </c>
      <c r="E815" s="1" t="s">
        <v>19</v>
      </c>
      <c r="F815" s="193">
        <f>G815+H815</f>
        <v>127967.70398000001</v>
      </c>
      <c r="G815" s="193">
        <v>24315.916450000001</v>
      </c>
      <c r="H815" s="101">
        <v>103651.78753</v>
      </c>
      <c r="I815" s="101">
        <v>0</v>
      </c>
      <c r="J815" s="101">
        <v>0</v>
      </c>
      <c r="K815" s="16" t="s">
        <v>120</v>
      </c>
    </row>
    <row r="816" spans="1:11" s="28" customFormat="1" ht="52.8" x14ac:dyDescent="0.3">
      <c r="A816" s="53">
        <v>748</v>
      </c>
      <c r="B816" s="243"/>
      <c r="C816" s="1" t="s">
        <v>1181</v>
      </c>
      <c r="D816" s="1" t="s">
        <v>1182</v>
      </c>
      <c r="E816" s="1" t="s">
        <v>18</v>
      </c>
      <c r="F816" s="193">
        <v>890.1</v>
      </c>
      <c r="G816" s="193">
        <v>890.1</v>
      </c>
      <c r="H816" s="101">
        <v>0</v>
      </c>
      <c r="I816" s="101">
        <v>0</v>
      </c>
      <c r="J816" s="101">
        <v>0</v>
      </c>
      <c r="K816" s="16" t="s">
        <v>120</v>
      </c>
    </row>
    <row r="817" spans="1:11" s="28" customFormat="1" ht="34.200000000000003" customHeight="1" x14ac:dyDescent="0.3">
      <c r="A817" s="53">
        <v>749</v>
      </c>
      <c r="B817" s="243"/>
      <c r="C817" s="1" t="s">
        <v>1183</v>
      </c>
      <c r="D817" s="1" t="s">
        <v>1184</v>
      </c>
      <c r="E817" s="1" t="s">
        <v>19</v>
      </c>
      <c r="F817" s="193">
        <v>1997.4708400000002</v>
      </c>
      <c r="G817" s="193">
        <v>1997.4708400000002</v>
      </c>
      <c r="H817" s="101">
        <v>0</v>
      </c>
      <c r="I817" s="101">
        <v>0</v>
      </c>
      <c r="J817" s="101">
        <v>0</v>
      </c>
      <c r="K817" s="16" t="s">
        <v>120</v>
      </c>
    </row>
    <row r="818" spans="1:11" s="28" customFormat="1" ht="39.6" x14ac:dyDescent="0.3">
      <c r="A818" s="53">
        <v>750</v>
      </c>
      <c r="B818" s="243"/>
      <c r="C818" s="1" t="s">
        <v>1185</v>
      </c>
      <c r="D818" s="1" t="s">
        <v>1186</v>
      </c>
      <c r="E818" s="1" t="s">
        <v>19</v>
      </c>
      <c r="F818" s="193">
        <v>4554.9175400000004</v>
      </c>
      <c r="G818" s="193">
        <v>649.38821999999993</v>
      </c>
      <c r="H818" s="101">
        <v>3905.5293200000001</v>
      </c>
      <c r="I818" s="101">
        <v>0</v>
      </c>
      <c r="J818" s="101">
        <v>0</v>
      </c>
      <c r="K818" s="16" t="s">
        <v>120</v>
      </c>
    </row>
    <row r="819" spans="1:11" s="28" customFormat="1" ht="52.8" x14ac:dyDescent="0.3">
      <c r="A819" s="53">
        <v>751</v>
      </c>
      <c r="B819" s="243"/>
      <c r="C819" s="1" t="s">
        <v>1187</v>
      </c>
      <c r="D819" s="1" t="s">
        <v>1188</v>
      </c>
      <c r="E819" s="1" t="s">
        <v>19</v>
      </c>
      <c r="F819" s="193">
        <v>3143.43966</v>
      </c>
      <c r="G819" s="193">
        <v>0</v>
      </c>
      <c r="H819" s="101">
        <v>3143.43966</v>
      </c>
      <c r="I819" s="101">
        <v>0</v>
      </c>
      <c r="J819" s="101">
        <v>0</v>
      </c>
      <c r="K819" s="16" t="s">
        <v>120</v>
      </c>
    </row>
    <row r="820" spans="1:11" s="28" customFormat="1" ht="26.4" x14ac:dyDescent="0.3">
      <c r="A820" s="53">
        <v>752</v>
      </c>
      <c r="B820" s="243"/>
      <c r="C820" s="1" t="s">
        <v>1189</v>
      </c>
      <c r="D820" s="1" t="s">
        <v>1190</v>
      </c>
      <c r="E820" s="1" t="s">
        <v>19</v>
      </c>
      <c r="F820" s="193">
        <v>3954.01854</v>
      </c>
      <c r="G820" s="193">
        <v>0</v>
      </c>
      <c r="H820" s="101">
        <v>3954.01854</v>
      </c>
      <c r="I820" s="101">
        <v>0</v>
      </c>
      <c r="J820" s="101">
        <v>0</v>
      </c>
      <c r="K820" s="16" t="s">
        <v>120</v>
      </c>
    </row>
    <row r="821" spans="1:11" s="28" customFormat="1" ht="26.4" x14ac:dyDescent="0.3">
      <c r="A821" s="53">
        <v>753</v>
      </c>
      <c r="B821" s="243"/>
      <c r="C821" s="1" t="s">
        <v>1191</v>
      </c>
      <c r="D821" s="1" t="s">
        <v>1192</v>
      </c>
      <c r="E821" s="1" t="s">
        <v>19</v>
      </c>
      <c r="F821" s="193">
        <v>2863.2702200000003</v>
      </c>
      <c r="G821" s="193">
        <v>0</v>
      </c>
      <c r="H821" s="101">
        <v>2863.2702199999999</v>
      </c>
      <c r="I821" s="101">
        <v>0</v>
      </c>
      <c r="J821" s="101">
        <v>0</v>
      </c>
      <c r="K821" s="16" t="s">
        <v>120</v>
      </c>
    </row>
    <row r="822" spans="1:11" s="28" customFormat="1" ht="26.4" x14ac:dyDescent="0.3">
      <c r="A822" s="53">
        <v>754</v>
      </c>
      <c r="B822" s="243"/>
      <c r="C822" s="1" t="s">
        <v>1193</v>
      </c>
      <c r="D822" s="1" t="s">
        <v>1194</v>
      </c>
      <c r="E822" s="1" t="s">
        <v>19</v>
      </c>
      <c r="F822" s="193">
        <v>2400</v>
      </c>
      <c r="G822" s="193">
        <v>0</v>
      </c>
      <c r="H822" s="101">
        <v>2400</v>
      </c>
      <c r="I822" s="101">
        <v>0</v>
      </c>
      <c r="J822" s="101">
        <v>0</v>
      </c>
      <c r="K822" s="16" t="s">
        <v>120</v>
      </c>
    </row>
    <row r="823" spans="1:11" s="28" customFormat="1" ht="39.6" x14ac:dyDescent="0.3">
      <c r="A823" s="53">
        <v>755</v>
      </c>
      <c r="B823" s="243"/>
      <c r="C823" s="1" t="s">
        <v>1195</v>
      </c>
      <c r="D823" s="1" t="s">
        <v>1196</v>
      </c>
      <c r="E823" s="1" t="s">
        <v>19</v>
      </c>
      <c r="F823" s="193">
        <v>1759.78207</v>
      </c>
      <c r="G823" s="193">
        <v>0</v>
      </c>
      <c r="H823" s="101">
        <v>1759.78207</v>
      </c>
      <c r="I823" s="101">
        <v>0</v>
      </c>
      <c r="J823" s="101">
        <v>0</v>
      </c>
      <c r="K823" s="16" t="s">
        <v>120</v>
      </c>
    </row>
    <row r="824" spans="1:11" s="28" customFormat="1" ht="39.6" x14ac:dyDescent="0.3">
      <c r="A824" s="53">
        <v>756</v>
      </c>
      <c r="B824" s="243"/>
      <c r="C824" s="1" t="s">
        <v>1197</v>
      </c>
      <c r="D824" s="1" t="s">
        <v>1198</v>
      </c>
      <c r="E824" s="1" t="s">
        <v>19</v>
      </c>
      <c r="F824" s="193">
        <v>801.03657999999996</v>
      </c>
      <c r="G824" s="193">
        <v>0</v>
      </c>
      <c r="H824" s="101">
        <v>801.03657999999996</v>
      </c>
      <c r="I824" s="101">
        <v>0</v>
      </c>
      <c r="J824" s="101">
        <v>0</v>
      </c>
      <c r="K824" s="16" t="s">
        <v>120</v>
      </c>
    </row>
    <row r="825" spans="1:11" s="28" customFormat="1" ht="39.6" x14ac:dyDescent="0.3">
      <c r="A825" s="53">
        <v>757</v>
      </c>
      <c r="B825" s="243"/>
      <c r="C825" s="1" t="s">
        <v>1199</v>
      </c>
      <c r="D825" s="1" t="s">
        <v>1150</v>
      </c>
      <c r="E825" s="1" t="s">
        <v>19</v>
      </c>
      <c r="F825" s="193">
        <v>4644</v>
      </c>
      <c r="G825" s="193">
        <v>0</v>
      </c>
      <c r="H825" s="101">
        <v>4644</v>
      </c>
      <c r="I825" s="101">
        <v>0</v>
      </c>
      <c r="J825" s="101">
        <v>0</v>
      </c>
      <c r="K825" s="16" t="s">
        <v>120</v>
      </c>
    </row>
    <row r="826" spans="1:11" s="28" customFormat="1" ht="52.8" x14ac:dyDescent="0.3">
      <c r="A826" s="53">
        <v>758</v>
      </c>
      <c r="B826" s="243"/>
      <c r="C826" s="1" t="s">
        <v>1200</v>
      </c>
      <c r="D826" s="1" t="s">
        <v>1156</v>
      </c>
      <c r="E826" s="1" t="s">
        <v>19</v>
      </c>
      <c r="F826" s="193">
        <v>2566.6660000000002</v>
      </c>
      <c r="G826" s="193">
        <v>0</v>
      </c>
      <c r="H826" s="101">
        <v>2566.6660000000002</v>
      </c>
      <c r="I826" s="101">
        <v>0</v>
      </c>
      <c r="J826" s="101">
        <v>0</v>
      </c>
      <c r="K826" s="16" t="s">
        <v>120</v>
      </c>
    </row>
    <row r="827" spans="1:11" s="28" customFormat="1" ht="39.6" x14ac:dyDescent="0.3">
      <c r="A827" s="53">
        <v>759</v>
      </c>
      <c r="B827" s="243"/>
      <c r="C827" s="1" t="s">
        <v>1201</v>
      </c>
      <c r="D827" s="1" t="s">
        <v>1158</v>
      </c>
      <c r="E827" s="1" t="s">
        <v>19</v>
      </c>
      <c r="F827" s="193">
        <v>5340.3897400000005</v>
      </c>
      <c r="G827" s="193">
        <v>0</v>
      </c>
      <c r="H827" s="101">
        <v>5340.3897399999996</v>
      </c>
      <c r="I827" s="101">
        <v>0</v>
      </c>
      <c r="J827" s="101">
        <v>0</v>
      </c>
      <c r="K827" s="16" t="s">
        <v>120</v>
      </c>
    </row>
    <row r="828" spans="1:11" s="28" customFormat="1" ht="39.6" x14ac:dyDescent="0.3">
      <c r="A828" s="53">
        <v>760</v>
      </c>
      <c r="B828" s="243"/>
      <c r="C828" s="1" t="s">
        <v>1202</v>
      </c>
      <c r="D828" s="1" t="s">
        <v>1203</v>
      </c>
      <c r="E828" s="1" t="s">
        <v>19</v>
      </c>
      <c r="F828" s="193">
        <v>21384.404710000003</v>
      </c>
      <c r="G828" s="193">
        <v>9182.1078200000011</v>
      </c>
      <c r="H828" s="101">
        <v>12202.29689</v>
      </c>
      <c r="I828" s="101">
        <v>0</v>
      </c>
      <c r="J828" s="101">
        <v>0</v>
      </c>
      <c r="K828" s="16" t="s">
        <v>120</v>
      </c>
    </row>
    <row r="829" spans="1:11" s="28" customFormat="1" ht="39.6" x14ac:dyDescent="0.3">
      <c r="A829" s="53">
        <v>761</v>
      </c>
      <c r="B829" s="243"/>
      <c r="C829" s="1" t="s">
        <v>1204</v>
      </c>
      <c r="D829" s="1" t="s">
        <v>1205</v>
      </c>
      <c r="E829" s="1" t="s">
        <v>19</v>
      </c>
      <c r="F829" s="193">
        <v>1018.2065</v>
      </c>
      <c r="G829" s="193">
        <v>1018.2065</v>
      </c>
      <c r="H829" s="101">
        <v>0</v>
      </c>
      <c r="I829" s="101">
        <v>0</v>
      </c>
      <c r="J829" s="101">
        <v>0</v>
      </c>
      <c r="K829" s="16" t="s">
        <v>120</v>
      </c>
    </row>
    <row r="830" spans="1:11" s="28" customFormat="1" ht="26.4" x14ac:dyDescent="0.3">
      <c r="A830" s="53">
        <v>762</v>
      </c>
      <c r="B830" s="243"/>
      <c r="C830" s="1" t="s">
        <v>1206</v>
      </c>
      <c r="D830" s="1" t="s">
        <v>1207</v>
      </c>
      <c r="E830" s="1" t="s">
        <v>19</v>
      </c>
      <c r="F830" s="193">
        <v>8892.7996199999998</v>
      </c>
      <c r="G830" s="193">
        <v>8892.7996199999998</v>
      </c>
      <c r="H830" s="101">
        <v>0</v>
      </c>
      <c r="I830" s="101">
        <v>0</v>
      </c>
      <c r="J830" s="101">
        <v>0</v>
      </c>
      <c r="K830" s="16" t="s">
        <v>120</v>
      </c>
    </row>
    <row r="831" spans="1:11" s="28" customFormat="1" ht="26.4" x14ac:dyDescent="0.3">
      <c r="A831" s="53">
        <v>763</v>
      </c>
      <c r="B831" s="243"/>
      <c r="C831" s="1" t="s">
        <v>1208</v>
      </c>
      <c r="D831" s="1" t="s">
        <v>1209</v>
      </c>
      <c r="E831" s="1" t="s">
        <v>19</v>
      </c>
      <c r="F831" s="193">
        <v>6916.5110599999998</v>
      </c>
      <c r="G831" s="193">
        <v>6916.5110599999998</v>
      </c>
      <c r="H831" s="101">
        <v>0</v>
      </c>
      <c r="I831" s="101">
        <v>0</v>
      </c>
      <c r="J831" s="101">
        <v>0</v>
      </c>
      <c r="K831" s="16" t="s">
        <v>120</v>
      </c>
    </row>
    <row r="832" spans="1:11" s="28" customFormat="1" ht="26.4" x14ac:dyDescent="0.3">
      <c r="A832" s="53">
        <v>764</v>
      </c>
      <c r="B832" s="243"/>
      <c r="C832" s="1" t="s">
        <v>1210</v>
      </c>
      <c r="D832" s="1" t="s">
        <v>1211</v>
      </c>
      <c r="E832" s="1" t="s">
        <v>19</v>
      </c>
      <c r="F832" s="193">
        <v>6989.375</v>
      </c>
      <c r="G832" s="193">
        <v>6989.375</v>
      </c>
      <c r="H832" s="101">
        <v>0</v>
      </c>
      <c r="I832" s="101">
        <v>0</v>
      </c>
      <c r="J832" s="101">
        <v>0</v>
      </c>
      <c r="K832" s="16" t="s">
        <v>120</v>
      </c>
    </row>
    <row r="833" spans="1:12" s="28" customFormat="1" ht="26.4" x14ac:dyDescent="0.3">
      <c r="A833" s="53">
        <v>765</v>
      </c>
      <c r="B833" s="244"/>
      <c r="C833" s="1" t="s">
        <v>1212</v>
      </c>
      <c r="D833" s="1" t="s">
        <v>1213</v>
      </c>
      <c r="E833" s="1" t="s">
        <v>19</v>
      </c>
      <c r="F833" s="193">
        <v>1083.4356</v>
      </c>
      <c r="G833" s="193">
        <v>1083.4356</v>
      </c>
      <c r="H833" s="101">
        <v>0</v>
      </c>
      <c r="I833" s="101">
        <v>0</v>
      </c>
      <c r="J833" s="101">
        <v>0</v>
      </c>
      <c r="K833" s="16" t="s">
        <v>120</v>
      </c>
    </row>
    <row r="834" spans="1:12" s="32" customFormat="1" ht="27" customHeight="1" x14ac:dyDescent="0.3">
      <c r="A834" s="250" t="s">
        <v>1240</v>
      </c>
      <c r="B834" s="251"/>
      <c r="C834" s="252"/>
      <c r="D834" s="34"/>
      <c r="E834" s="34"/>
      <c r="F834" s="134">
        <f>SUM(F800:F833)</f>
        <v>266876.01614000002</v>
      </c>
      <c r="G834" s="134">
        <f t="shared" ref="G834:I834" si="69">SUM(G800:G833)</f>
        <v>119643.79959000002</v>
      </c>
      <c r="H834" s="134">
        <f t="shared" si="69"/>
        <v>147232.21655000001</v>
      </c>
      <c r="I834" s="134">
        <f t="shared" si="69"/>
        <v>0</v>
      </c>
      <c r="J834" s="134"/>
      <c r="K834" s="31"/>
      <c r="L834" s="58"/>
    </row>
    <row r="835" spans="1:12" s="28" customFormat="1" ht="52.8" x14ac:dyDescent="0.3">
      <c r="A835" s="13">
        <v>766</v>
      </c>
      <c r="B835" s="242" t="s">
        <v>1148</v>
      </c>
      <c r="C835" s="13" t="s">
        <v>1214</v>
      </c>
      <c r="D835" s="42" t="s">
        <v>1154</v>
      </c>
      <c r="E835" s="42" t="s">
        <v>19</v>
      </c>
      <c r="F835" s="109">
        <v>3060.7559999999999</v>
      </c>
      <c r="G835" s="109">
        <v>0</v>
      </c>
      <c r="H835" s="101">
        <v>3060.7559999999999</v>
      </c>
      <c r="I835" s="101">
        <v>0</v>
      </c>
      <c r="J835" s="101">
        <v>0</v>
      </c>
      <c r="K835" s="16" t="s">
        <v>125</v>
      </c>
    </row>
    <row r="836" spans="1:12" s="28" customFormat="1" ht="39.6" x14ac:dyDescent="0.3">
      <c r="A836" s="13">
        <v>767</v>
      </c>
      <c r="B836" s="243"/>
      <c r="C836" s="13" t="s">
        <v>1215</v>
      </c>
      <c r="D836" s="42" t="s">
        <v>1180</v>
      </c>
      <c r="E836" s="42" t="s">
        <v>19</v>
      </c>
      <c r="F836" s="109">
        <v>103525.38753000001</v>
      </c>
      <c r="G836" s="109">
        <v>0</v>
      </c>
      <c r="H836" s="109">
        <v>0</v>
      </c>
      <c r="I836" s="101">
        <v>103525.38753000001</v>
      </c>
      <c r="J836" s="101">
        <v>0</v>
      </c>
      <c r="K836" s="16" t="s">
        <v>127</v>
      </c>
    </row>
    <row r="837" spans="1:12" s="28" customFormat="1" ht="26.4" x14ac:dyDescent="0.3">
      <c r="A837" s="53">
        <v>768</v>
      </c>
      <c r="B837" s="243"/>
      <c r="C837" s="13" t="s">
        <v>1216</v>
      </c>
      <c r="D837" s="13" t="s">
        <v>334</v>
      </c>
      <c r="E837" s="42" t="s">
        <v>19</v>
      </c>
      <c r="F837" s="101">
        <v>1759.78207</v>
      </c>
      <c r="G837" s="109">
        <v>0</v>
      </c>
      <c r="H837" s="109">
        <v>0</v>
      </c>
      <c r="I837" s="101">
        <v>1759.78207</v>
      </c>
      <c r="J837" s="101">
        <v>0</v>
      </c>
      <c r="K837" s="16" t="s">
        <v>127</v>
      </c>
    </row>
    <row r="838" spans="1:12" s="28" customFormat="1" ht="26.4" x14ac:dyDescent="0.3">
      <c r="A838" s="53">
        <v>769</v>
      </c>
      <c r="B838" s="243"/>
      <c r="C838" s="13" t="s">
        <v>1217</v>
      </c>
      <c r="D838" s="13" t="s">
        <v>1160</v>
      </c>
      <c r="E838" s="42" t="s">
        <v>19</v>
      </c>
      <c r="F838" s="101">
        <v>10290</v>
      </c>
      <c r="G838" s="109">
        <v>0</v>
      </c>
      <c r="H838" s="101">
        <v>10290</v>
      </c>
      <c r="I838" s="101">
        <v>0</v>
      </c>
      <c r="J838" s="101">
        <v>0</v>
      </c>
      <c r="K838" s="16" t="s">
        <v>125</v>
      </c>
    </row>
    <row r="839" spans="1:12" s="28" customFormat="1" ht="52.8" x14ac:dyDescent="0.3">
      <c r="A839" s="53">
        <v>770</v>
      </c>
      <c r="B839" s="243"/>
      <c r="C839" s="13" t="s">
        <v>1218</v>
      </c>
      <c r="D839" s="13" t="s">
        <v>1182</v>
      </c>
      <c r="E839" s="42" t="s">
        <v>19</v>
      </c>
      <c r="F839" s="101">
        <v>890.1</v>
      </c>
      <c r="G839" s="109">
        <v>0</v>
      </c>
      <c r="H839" s="101">
        <v>890.1</v>
      </c>
      <c r="I839" s="101">
        <v>0</v>
      </c>
      <c r="J839" s="101">
        <v>0</v>
      </c>
      <c r="K839" s="16" t="s">
        <v>125</v>
      </c>
    </row>
    <row r="840" spans="1:12" s="28" customFormat="1" ht="26.4" x14ac:dyDescent="0.3">
      <c r="A840" s="53">
        <v>771</v>
      </c>
      <c r="B840" s="243"/>
      <c r="C840" s="13" t="s">
        <v>1219</v>
      </c>
      <c r="D840" s="13" t="s">
        <v>1184</v>
      </c>
      <c r="E840" s="42" t="s">
        <v>19</v>
      </c>
      <c r="F840" s="101">
        <v>1997.4708400000002</v>
      </c>
      <c r="G840" s="109">
        <v>0</v>
      </c>
      <c r="H840" s="101">
        <v>1997.4708400000002</v>
      </c>
      <c r="I840" s="101">
        <v>0</v>
      </c>
      <c r="J840" s="101">
        <v>0</v>
      </c>
      <c r="K840" s="16" t="s">
        <v>125</v>
      </c>
    </row>
    <row r="841" spans="1:12" s="28" customFormat="1" ht="52.8" x14ac:dyDescent="0.3">
      <c r="A841" s="53">
        <v>772</v>
      </c>
      <c r="B841" s="243"/>
      <c r="C841" s="13" t="s">
        <v>1220</v>
      </c>
      <c r="D841" s="13" t="s">
        <v>1156</v>
      </c>
      <c r="E841" s="42" t="s">
        <v>19</v>
      </c>
      <c r="F841" s="101">
        <v>2566.6660000000002</v>
      </c>
      <c r="G841" s="109">
        <v>0</v>
      </c>
      <c r="H841" s="101">
        <v>0</v>
      </c>
      <c r="I841" s="101">
        <v>2566.6660000000002</v>
      </c>
      <c r="J841" s="101">
        <v>0</v>
      </c>
      <c r="K841" s="16" t="s">
        <v>127</v>
      </c>
    </row>
    <row r="842" spans="1:12" s="28" customFormat="1" ht="39.6" x14ac:dyDescent="0.3">
      <c r="A842" s="53">
        <v>773</v>
      </c>
      <c r="B842" s="243"/>
      <c r="C842" s="13" t="s">
        <v>1221</v>
      </c>
      <c r="D842" s="13" t="s">
        <v>1186</v>
      </c>
      <c r="E842" s="42" t="s">
        <v>19</v>
      </c>
      <c r="F842" s="101">
        <v>3905.5293199999996</v>
      </c>
      <c r="G842" s="109">
        <v>0</v>
      </c>
      <c r="H842" s="101">
        <v>0</v>
      </c>
      <c r="I842" s="101">
        <v>3905.5293199999996</v>
      </c>
      <c r="J842" s="101">
        <v>0</v>
      </c>
      <c r="K842" s="16" t="s">
        <v>127</v>
      </c>
    </row>
    <row r="843" spans="1:12" s="28" customFormat="1" ht="39.6" x14ac:dyDescent="0.3">
      <c r="A843" s="53">
        <v>774</v>
      </c>
      <c r="B843" s="243"/>
      <c r="C843" s="13" t="s">
        <v>1222</v>
      </c>
      <c r="D843" s="13" t="s">
        <v>1158</v>
      </c>
      <c r="E843" s="42" t="s">
        <v>19</v>
      </c>
      <c r="F843" s="101">
        <v>4979.4282199999998</v>
      </c>
      <c r="G843" s="109">
        <v>0</v>
      </c>
      <c r="H843" s="101">
        <v>0</v>
      </c>
      <c r="I843" s="101">
        <v>4979.4282199999998</v>
      </c>
      <c r="J843" s="101">
        <v>0</v>
      </c>
      <c r="K843" s="16" t="s">
        <v>127</v>
      </c>
    </row>
    <row r="844" spans="1:12" s="28" customFormat="1" ht="52.8" x14ac:dyDescent="0.3">
      <c r="A844" s="53">
        <v>775</v>
      </c>
      <c r="B844" s="243"/>
      <c r="C844" s="13" t="s">
        <v>1223</v>
      </c>
      <c r="D844" s="13" t="s">
        <v>1188</v>
      </c>
      <c r="E844" s="42" t="s">
        <v>19</v>
      </c>
      <c r="F844" s="101">
        <v>3512.50738</v>
      </c>
      <c r="G844" s="109">
        <v>0</v>
      </c>
      <c r="H844" s="101">
        <v>0</v>
      </c>
      <c r="I844" s="101">
        <v>3512.50738</v>
      </c>
      <c r="J844" s="101">
        <v>0</v>
      </c>
      <c r="K844" s="16" t="s">
        <v>127</v>
      </c>
    </row>
    <row r="845" spans="1:12" s="28" customFormat="1" ht="26.4" x14ac:dyDescent="0.3">
      <c r="A845" s="53">
        <v>776</v>
      </c>
      <c r="B845" s="243"/>
      <c r="C845" s="13" t="s">
        <v>1224</v>
      </c>
      <c r="D845" s="13" t="s">
        <v>1225</v>
      </c>
      <c r="E845" s="42" t="s">
        <v>19</v>
      </c>
      <c r="F845" s="101">
        <v>3954.01854</v>
      </c>
      <c r="G845" s="109">
        <v>0</v>
      </c>
      <c r="H845" s="101">
        <v>0</v>
      </c>
      <c r="I845" s="101">
        <v>3954.01854</v>
      </c>
      <c r="J845" s="101">
        <v>0</v>
      </c>
      <c r="K845" s="16" t="s">
        <v>127</v>
      </c>
    </row>
    <row r="846" spans="1:12" s="28" customFormat="1" ht="26.4" x14ac:dyDescent="0.3">
      <c r="A846" s="53">
        <v>777</v>
      </c>
      <c r="B846" s="243"/>
      <c r="C846" s="13" t="s">
        <v>1226</v>
      </c>
      <c r="D846" s="13" t="s">
        <v>1194</v>
      </c>
      <c r="E846" s="42" t="s">
        <v>19</v>
      </c>
      <c r="F846" s="101">
        <v>2400</v>
      </c>
      <c r="G846" s="109">
        <v>0</v>
      </c>
      <c r="H846" s="101">
        <v>0</v>
      </c>
      <c r="I846" s="101">
        <v>2400</v>
      </c>
      <c r="J846" s="101">
        <v>0</v>
      </c>
      <c r="K846" s="16" t="s">
        <v>127</v>
      </c>
    </row>
    <row r="847" spans="1:12" s="28" customFormat="1" ht="39.6" x14ac:dyDescent="0.3">
      <c r="A847" s="53">
        <v>778</v>
      </c>
      <c r="B847" s="243"/>
      <c r="C847" s="13" t="s">
        <v>1227</v>
      </c>
      <c r="D847" s="13" t="s">
        <v>1228</v>
      </c>
      <c r="E847" s="42" t="s">
        <v>19</v>
      </c>
      <c r="F847" s="101">
        <v>12202.296890000001</v>
      </c>
      <c r="G847" s="109">
        <v>0</v>
      </c>
      <c r="H847" s="101">
        <v>0</v>
      </c>
      <c r="I847" s="101">
        <v>12202.296890000001</v>
      </c>
      <c r="J847" s="101">
        <v>0</v>
      </c>
      <c r="K847" s="16" t="s">
        <v>127</v>
      </c>
    </row>
    <row r="848" spans="1:12" s="28" customFormat="1" ht="26.4" x14ac:dyDescent="0.3">
      <c r="A848" s="53">
        <v>779</v>
      </c>
      <c r="B848" s="243"/>
      <c r="C848" s="13" t="s">
        <v>1229</v>
      </c>
      <c r="D848" s="13" t="s">
        <v>1207</v>
      </c>
      <c r="E848" s="42" t="s">
        <v>19</v>
      </c>
      <c r="F848" s="101">
        <v>10062.34074</v>
      </c>
      <c r="G848" s="109">
        <v>0</v>
      </c>
      <c r="H848" s="101">
        <v>0</v>
      </c>
      <c r="I848" s="101">
        <v>10062.34074</v>
      </c>
      <c r="J848" s="101">
        <v>0</v>
      </c>
      <c r="K848" s="16" t="s">
        <v>127</v>
      </c>
    </row>
    <row r="849" spans="1:12" s="28" customFormat="1" ht="26.4" x14ac:dyDescent="0.3">
      <c r="A849" s="53">
        <v>780</v>
      </c>
      <c r="B849" s="243"/>
      <c r="C849" s="13" t="s">
        <v>1230</v>
      </c>
      <c r="D849" s="13" t="s">
        <v>1209</v>
      </c>
      <c r="E849" s="42" t="s">
        <v>19</v>
      </c>
      <c r="F849" s="101">
        <v>7157.6094000000003</v>
      </c>
      <c r="G849" s="109">
        <v>0</v>
      </c>
      <c r="H849" s="101">
        <v>0</v>
      </c>
      <c r="I849" s="101">
        <v>7157.6094000000003</v>
      </c>
      <c r="J849" s="101">
        <v>0</v>
      </c>
      <c r="K849" s="16" t="s">
        <v>127</v>
      </c>
    </row>
    <row r="850" spans="1:12" s="28" customFormat="1" ht="39.6" x14ac:dyDescent="0.3">
      <c r="A850" s="53">
        <v>781</v>
      </c>
      <c r="B850" s="243"/>
      <c r="C850" s="13" t="s">
        <v>1231</v>
      </c>
      <c r="D850" s="13" t="s">
        <v>1232</v>
      </c>
      <c r="E850" s="42" t="s">
        <v>19</v>
      </c>
      <c r="F850" s="101">
        <v>2863.2702200000003</v>
      </c>
      <c r="G850" s="109">
        <v>0</v>
      </c>
      <c r="H850" s="101">
        <v>0</v>
      </c>
      <c r="I850" s="101">
        <v>2863.2702200000003</v>
      </c>
      <c r="J850" s="101">
        <v>0</v>
      </c>
      <c r="K850" s="16" t="s">
        <v>127</v>
      </c>
    </row>
    <row r="851" spans="1:12" s="28" customFormat="1" ht="26.4" x14ac:dyDescent="0.3">
      <c r="A851" s="53">
        <v>782</v>
      </c>
      <c r="B851" s="244"/>
      <c r="C851" s="13" t="s">
        <v>1216</v>
      </c>
      <c r="D851" s="13" t="s">
        <v>334</v>
      </c>
      <c r="E851" s="42" t="s">
        <v>19</v>
      </c>
      <c r="F851" s="101">
        <v>1759.78207</v>
      </c>
      <c r="G851" s="109">
        <v>0</v>
      </c>
      <c r="H851" s="101">
        <v>0</v>
      </c>
      <c r="I851" s="101">
        <v>1759.78207</v>
      </c>
      <c r="J851" s="101">
        <v>0</v>
      </c>
      <c r="K851" s="16" t="s">
        <v>127</v>
      </c>
    </row>
    <row r="852" spans="1:12" s="32" customFormat="1" ht="28.8" customHeight="1" x14ac:dyDescent="0.3">
      <c r="A852" s="240" t="s">
        <v>1241</v>
      </c>
      <c r="B852" s="240"/>
      <c r="C852" s="240"/>
      <c r="D852" s="31"/>
      <c r="E852" s="31"/>
      <c r="F852" s="134">
        <f>F851+F850+F849+F848+F847+F846+F845+F844+F843+F842+F841+F840+F839+F838+F837+F836+F835</f>
        <v>176886.94521999999</v>
      </c>
      <c r="G852" s="134">
        <f t="shared" ref="G852:J852" si="70">G851+G850+G849+G848+G847+G846+G845+G844+G843+G842+G841+G840+G839+G838+G837+G836+G835</f>
        <v>0</v>
      </c>
      <c r="H852" s="134">
        <f t="shared" si="70"/>
        <v>16238.32684</v>
      </c>
      <c r="I852" s="134">
        <f t="shared" si="70"/>
        <v>160648.61838</v>
      </c>
      <c r="J852" s="134">
        <f t="shared" si="70"/>
        <v>0</v>
      </c>
      <c r="K852" s="25"/>
      <c r="L852" s="58"/>
    </row>
    <row r="853" spans="1:12" s="32" customFormat="1" ht="39.6" x14ac:dyDescent="0.3">
      <c r="A853" s="53">
        <v>783</v>
      </c>
      <c r="B853" s="242" t="s">
        <v>1148</v>
      </c>
      <c r="C853" s="13" t="s">
        <v>1233</v>
      </c>
      <c r="D853" s="13" t="s">
        <v>1152</v>
      </c>
      <c r="E853" s="13" t="s">
        <v>19</v>
      </c>
      <c r="F853" s="109">
        <v>299.94688000000002</v>
      </c>
      <c r="G853" s="109">
        <v>0</v>
      </c>
      <c r="H853" s="109">
        <v>0</v>
      </c>
      <c r="I853" s="109">
        <v>299.94688000000002</v>
      </c>
      <c r="J853" s="109">
        <v>0</v>
      </c>
      <c r="K853" s="16" t="s">
        <v>129</v>
      </c>
    </row>
    <row r="854" spans="1:12" s="32" customFormat="1" ht="52.8" x14ac:dyDescent="0.3">
      <c r="A854" s="53">
        <v>784</v>
      </c>
      <c r="B854" s="243"/>
      <c r="C854" s="13" t="s">
        <v>1234</v>
      </c>
      <c r="D854" s="13" t="s">
        <v>1154</v>
      </c>
      <c r="E854" s="13" t="s">
        <v>19</v>
      </c>
      <c r="F854" s="109">
        <v>3060.7559999999999</v>
      </c>
      <c r="G854" s="109">
        <v>0</v>
      </c>
      <c r="H854" s="109">
        <v>0</v>
      </c>
      <c r="I854" s="109">
        <v>3060.7559999999999</v>
      </c>
      <c r="J854" s="109">
        <v>0</v>
      </c>
      <c r="K854" s="16" t="s">
        <v>129</v>
      </c>
    </row>
    <row r="855" spans="1:12" s="32" customFormat="1" ht="26.4" x14ac:dyDescent="0.3">
      <c r="A855" s="53">
        <v>785</v>
      </c>
      <c r="B855" s="243"/>
      <c r="C855" s="13" t="s">
        <v>1235</v>
      </c>
      <c r="D855" s="13" t="s">
        <v>1160</v>
      </c>
      <c r="E855" s="13" t="s">
        <v>19</v>
      </c>
      <c r="F855" s="109">
        <v>10290</v>
      </c>
      <c r="G855" s="109">
        <v>0</v>
      </c>
      <c r="H855" s="109">
        <v>0</v>
      </c>
      <c r="I855" s="109">
        <v>10290</v>
      </c>
      <c r="J855" s="109">
        <v>0</v>
      </c>
      <c r="K855" s="16" t="s">
        <v>129</v>
      </c>
    </row>
    <row r="856" spans="1:12" s="32" customFormat="1" ht="52.8" x14ac:dyDescent="0.3">
      <c r="A856" s="53">
        <v>786</v>
      </c>
      <c r="B856" s="243"/>
      <c r="C856" s="13" t="s">
        <v>1236</v>
      </c>
      <c r="D856" s="13" t="s">
        <v>1182</v>
      </c>
      <c r="E856" s="13" t="s">
        <v>19</v>
      </c>
      <c r="F856" s="109">
        <v>890.1</v>
      </c>
      <c r="G856" s="109">
        <v>0</v>
      </c>
      <c r="H856" s="109">
        <v>0</v>
      </c>
      <c r="I856" s="109">
        <v>890.1</v>
      </c>
      <c r="J856" s="109">
        <v>0</v>
      </c>
      <c r="K856" s="16" t="s">
        <v>129</v>
      </c>
    </row>
    <row r="857" spans="1:12" s="32" customFormat="1" ht="26.4" x14ac:dyDescent="0.3">
      <c r="A857" s="53">
        <v>787</v>
      </c>
      <c r="B857" s="243"/>
      <c r="C857" s="13" t="s">
        <v>1237</v>
      </c>
      <c r="D857" s="13" t="s">
        <v>1184</v>
      </c>
      <c r="E857" s="13" t="s">
        <v>19</v>
      </c>
      <c r="F857" s="109">
        <v>1997.4708400000002</v>
      </c>
      <c r="G857" s="109">
        <v>0</v>
      </c>
      <c r="H857" s="109">
        <v>0</v>
      </c>
      <c r="I857" s="109">
        <v>1997.4708400000002</v>
      </c>
      <c r="J857" s="109">
        <v>0</v>
      </c>
      <c r="K857" s="16" t="s">
        <v>129</v>
      </c>
    </row>
    <row r="858" spans="1:12" s="32" customFormat="1" ht="26.4" x14ac:dyDescent="0.3">
      <c r="A858" s="53">
        <v>788</v>
      </c>
      <c r="B858" s="243"/>
      <c r="C858" s="13" t="s">
        <v>1238</v>
      </c>
      <c r="D858" s="13" t="s">
        <v>1207</v>
      </c>
      <c r="E858" s="13" t="s">
        <v>19</v>
      </c>
      <c r="F858" s="109">
        <v>10425.57374</v>
      </c>
      <c r="G858" s="109">
        <v>0</v>
      </c>
      <c r="H858" s="109">
        <v>0</v>
      </c>
      <c r="I858" s="109">
        <v>10425.57374</v>
      </c>
      <c r="J858" s="109">
        <v>0</v>
      </c>
      <c r="K858" s="16" t="s">
        <v>129</v>
      </c>
    </row>
    <row r="859" spans="1:12" s="32" customFormat="1" ht="26.4" x14ac:dyDescent="0.3">
      <c r="A859" s="53">
        <v>789</v>
      </c>
      <c r="B859" s="244"/>
      <c r="C859" s="13" t="s">
        <v>1239</v>
      </c>
      <c r="D859" s="13" t="s">
        <v>1209</v>
      </c>
      <c r="E859" s="13" t="s">
        <v>19</v>
      </c>
      <c r="F859" s="109">
        <v>7415.2781199999999</v>
      </c>
      <c r="G859" s="109">
        <v>0</v>
      </c>
      <c r="H859" s="109">
        <v>0</v>
      </c>
      <c r="I859" s="109">
        <v>7415.2781199999999</v>
      </c>
      <c r="J859" s="109">
        <v>0</v>
      </c>
      <c r="K859" s="16" t="s">
        <v>129</v>
      </c>
    </row>
    <row r="860" spans="1:12" s="32" customFormat="1" ht="19.2" customHeight="1" x14ac:dyDescent="0.3">
      <c r="A860" s="343" t="s">
        <v>1242</v>
      </c>
      <c r="B860" s="344"/>
      <c r="C860" s="344"/>
      <c r="D860" s="345"/>
      <c r="E860" s="31"/>
      <c r="F860" s="134">
        <f>SUM(F853:F859)</f>
        <v>34379.12558</v>
      </c>
      <c r="G860" s="134">
        <f>SUM(G853:G859)</f>
        <v>0</v>
      </c>
      <c r="H860" s="134">
        <f>SUM(H853:H859)</f>
        <v>0</v>
      </c>
      <c r="I860" s="134">
        <f>SUM(I853:I859)</f>
        <v>34379.12558</v>
      </c>
      <c r="J860" s="134"/>
      <c r="K860" s="31"/>
    </row>
    <row r="861" spans="1:12" s="28" customFormat="1" ht="66" x14ac:dyDescent="0.3">
      <c r="A861" s="13">
        <v>790</v>
      </c>
      <c r="B861" s="242" t="s">
        <v>1243</v>
      </c>
      <c r="C861" s="1" t="s">
        <v>1244</v>
      </c>
      <c r="D861" s="1" t="s">
        <v>1245</v>
      </c>
      <c r="E861" s="1" t="s">
        <v>1246</v>
      </c>
      <c r="F861" s="193">
        <f>G861+H861+I861</f>
        <v>12930</v>
      </c>
      <c r="G861" s="193">
        <v>0</v>
      </c>
      <c r="H861" s="101">
        <v>12930</v>
      </c>
      <c r="I861" s="101">
        <v>0</v>
      </c>
      <c r="J861" s="101">
        <v>0</v>
      </c>
      <c r="K861" s="16" t="s">
        <v>328</v>
      </c>
    </row>
    <row r="862" spans="1:12" s="28" customFormat="1" ht="26.4" x14ac:dyDescent="0.3">
      <c r="A862" s="13">
        <v>791</v>
      </c>
      <c r="B862" s="243"/>
      <c r="C862" s="1" t="s">
        <v>1247</v>
      </c>
      <c r="D862" s="1" t="s">
        <v>1190</v>
      </c>
      <c r="E862" s="1" t="s">
        <v>1246</v>
      </c>
      <c r="F862" s="193">
        <f t="shared" ref="F862:F878" si="71">G862+H862+I862</f>
        <v>1044.4000000000001</v>
      </c>
      <c r="G862" s="193">
        <v>941.74</v>
      </c>
      <c r="H862" s="101">
        <v>102.66</v>
      </c>
      <c r="I862" s="101">
        <v>0</v>
      </c>
      <c r="J862" s="101">
        <v>0</v>
      </c>
      <c r="K862" s="16" t="s">
        <v>555</v>
      </c>
    </row>
    <row r="863" spans="1:12" s="28" customFormat="1" ht="26.4" x14ac:dyDescent="0.3">
      <c r="A863" s="53">
        <v>792</v>
      </c>
      <c r="B863" s="243"/>
      <c r="C863" s="1" t="s">
        <v>1247</v>
      </c>
      <c r="D863" s="1" t="s">
        <v>1190</v>
      </c>
      <c r="E863" s="1" t="s">
        <v>1246</v>
      </c>
      <c r="F863" s="193">
        <f>G863+H863+I863</f>
        <v>2193.2999999999997</v>
      </c>
      <c r="G863" s="193">
        <v>0</v>
      </c>
      <c r="H863" s="101">
        <v>1992.08</v>
      </c>
      <c r="I863" s="101">
        <v>201.22</v>
      </c>
      <c r="J863" s="101">
        <v>0</v>
      </c>
      <c r="K863" s="16" t="s">
        <v>328</v>
      </c>
    </row>
    <row r="864" spans="1:12" s="28" customFormat="1" ht="26.4" x14ac:dyDescent="0.3">
      <c r="A864" s="53">
        <v>793</v>
      </c>
      <c r="B864" s="243"/>
      <c r="C864" s="1" t="s">
        <v>1248</v>
      </c>
      <c r="D864" s="1" t="s">
        <v>1249</v>
      </c>
      <c r="E864" s="1" t="s">
        <v>1246</v>
      </c>
      <c r="F864" s="193">
        <f t="shared" si="71"/>
        <v>672</v>
      </c>
      <c r="G864" s="193">
        <v>0</v>
      </c>
      <c r="H864" s="101">
        <v>616</v>
      </c>
      <c r="I864" s="101">
        <v>56</v>
      </c>
      <c r="J864" s="101">
        <v>0</v>
      </c>
      <c r="K864" s="16" t="s">
        <v>329</v>
      </c>
    </row>
    <row r="865" spans="1:12" s="28" customFormat="1" ht="26.4" x14ac:dyDescent="0.3">
      <c r="A865" s="53">
        <v>794</v>
      </c>
      <c r="B865" s="243"/>
      <c r="C865" s="1" t="s">
        <v>1250</v>
      </c>
      <c r="D865" s="1" t="s">
        <v>1251</v>
      </c>
      <c r="E865" s="1" t="s">
        <v>1246</v>
      </c>
      <c r="F865" s="193">
        <f t="shared" si="71"/>
        <v>114</v>
      </c>
      <c r="G865" s="193">
        <v>0</v>
      </c>
      <c r="H865" s="101">
        <v>114</v>
      </c>
      <c r="I865" s="101">
        <v>0</v>
      </c>
      <c r="J865" s="101">
        <v>0</v>
      </c>
      <c r="K865" s="16" t="s">
        <v>329</v>
      </c>
    </row>
    <row r="866" spans="1:12" s="28" customFormat="1" ht="39.6" x14ac:dyDescent="0.3">
      <c r="A866" s="53">
        <v>795</v>
      </c>
      <c r="B866" s="243"/>
      <c r="C866" s="1" t="s">
        <v>1252</v>
      </c>
      <c r="D866" s="1" t="s">
        <v>1253</v>
      </c>
      <c r="E866" s="1" t="s">
        <v>1246</v>
      </c>
      <c r="F866" s="193">
        <f t="shared" si="71"/>
        <v>541.96799999999996</v>
      </c>
      <c r="G866" s="193">
        <v>0</v>
      </c>
      <c r="H866" s="101">
        <v>496.80399999999997</v>
      </c>
      <c r="I866" s="101">
        <v>45.164000000000001</v>
      </c>
      <c r="J866" s="101">
        <v>0</v>
      </c>
      <c r="K866" s="16" t="s">
        <v>329</v>
      </c>
    </row>
    <row r="867" spans="1:12" s="28" customFormat="1" ht="26.4" x14ac:dyDescent="0.3">
      <c r="A867" s="53">
        <v>796</v>
      </c>
      <c r="B867" s="243"/>
      <c r="C867" s="1" t="s">
        <v>1254</v>
      </c>
      <c r="D867" s="1" t="s">
        <v>1255</v>
      </c>
      <c r="E867" s="1" t="s">
        <v>1246</v>
      </c>
      <c r="F867" s="193">
        <f t="shared" si="71"/>
        <v>1209.76</v>
      </c>
      <c r="G867" s="193">
        <v>312.16000000000003</v>
      </c>
      <c r="H867" s="101">
        <v>897.6</v>
      </c>
      <c r="I867" s="101">
        <v>0</v>
      </c>
      <c r="J867" s="101">
        <v>0</v>
      </c>
      <c r="K867" s="16" t="s">
        <v>122</v>
      </c>
    </row>
    <row r="868" spans="1:12" s="28" customFormat="1" ht="26.4" x14ac:dyDescent="0.3">
      <c r="A868" s="53">
        <v>797</v>
      </c>
      <c r="B868" s="243"/>
      <c r="C868" s="1" t="s">
        <v>1256</v>
      </c>
      <c r="D868" s="1" t="s">
        <v>1257</v>
      </c>
      <c r="E868" s="1" t="s">
        <v>1246</v>
      </c>
      <c r="F868" s="193">
        <f t="shared" si="71"/>
        <v>495.99962999999997</v>
      </c>
      <c r="G868" s="193">
        <v>0</v>
      </c>
      <c r="H868" s="101">
        <v>454.66629999999998</v>
      </c>
      <c r="I868" s="101">
        <v>41.333329999999997</v>
      </c>
      <c r="J868" s="101">
        <v>0</v>
      </c>
      <c r="K868" s="16" t="s">
        <v>329</v>
      </c>
    </row>
    <row r="869" spans="1:12" s="28" customFormat="1" ht="26.4" x14ac:dyDescent="0.3">
      <c r="A869" s="53">
        <v>798</v>
      </c>
      <c r="B869" s="243"/>
      <c r="C869" s="1" t="s">
        <v>1258</v>
      </c>
      <c r="D869" s="1" t="s">
        <v>137</v>
      </c>
      <c r="E869" s="1" t="s">
        <v>1246</v>
      </c>
      <c r="F869" s="193">
        <f t="shared" si="71"/>
        <v>1162.0140000000001</v>
      </c>
      <c r="G869" s="193">
        <v>0</v>
      </c>
      <c r="H869" s="101">
        <v>1063.3224</v>
      </c>
      <c r="I869" s="101">
        <v>98.691599999999994</v>
      </c>
      <c r="J869" s="101">
        <v>0</v>
      </c>
      <c r="K869" s="16" t="s">
        <v>329</v>
      </c>
    </row>
    <row r="870" spans="1:12" s="28" customFormat="1" ht="26.4" x14ac:dyDescent="0.3">
      <c r="A870" s="53">
        <v>799</v>
      </c>
      <c r="B870" s="243"/>
      <c r="C870" s="1" t="s">
        <v>1259</v>
      </c>
      <c r="D870" s="1" t="s">
        <v>1260</v>
      </c>
      <c r="E870" s="1" t="s">
        <v>1246</v>
      </c>
      <c r="F870" s="193">
        <f t="shared" si="71"/>
        <v>13796</v>
      </c>
      <c r="G870" s="193">
        <v>0</v>
      </c>
      <c r="H870" s="101">
        <v>13796</v>
      </c>
      <c r="I870" s="101">
        <v>0</v>
      </c>
      <c r="J870" s="101">
        <v>0</v>
      </c>
      <c r="K870" s="16" t="s">
        <v>123</v>
      </c>
    </row>
    <row r="871" spans="1:12" s="28" customFormat="1" ht="26.4" x14ac:dyDescent="0.3">
      <c r="A871" s="53">
        <v>800</v>
      </c>
      <c r="B871" s="243"/>
      <c r="C871" s="1" t="s">
        <v>1261</v>
      </c>
      <c r="D871" s="1" t="s">
        <v>434</v>
      </c>
      <c r="E871" s="1" t="s">
        <v>1246</v>
      </c>
      <c r="F871" s="193">
        <f t="shared" si="71"/>
        <v>304.83654000000001</v>
      </c>
      <c r="G871" s="193">
        <v>304.83654000000001</v>
      </c>
      <c r="H871" s="101">
        <v>0</v>
      </c>
      <c r="I871" s="101">
        <v>0</v>
      </c>
      <c r="J871" s="101">
        <v>0</v>
      </c>
      <c r="K871" s="16" t="s">
        <v>122</v>
      </c>
    </row>
    <row r="872" spans="1:12" s="28" customFormat="1" ht="52.8" x14ac:dyDescent="0.3">
      <c r="A872" s="53">
        <v>801</v>
      </c>
      <c r="B872" s="243"/>
      <c r="C872" s="1" t="s">
        <v>1262</v>
      </c>
      <c r="D872" s="1" t="s">
        <v>1263</v>
      </c>
      <c r="E872" s="1" t="s">
        <v>1246</v>
      </c>
      <c r="F872" s="193">
        <f t="shared" si="71"/>
        <v>15744.56294</v>
      </c>
      <c r="G872" s="193">
        <v>0</v>
      </c>
      <c r="H872" s="101">
        <v>15423.7646</v>
      </c>
      <c r="I872" s="101">
        <v>320.79834</v>
      </c>
      <c r="J872" s="101">
        <v>0</v>
      </c>
      <c r="K872" s="16" t="s">
        <v>123</v>
      </c>
    </row>
    <row r="873" spans="1:12" s="28" customFormat="1" ht="52.8" x14ac:dyDescent="0.3">
      <c r="A873" s="53">
        <v>802</v>
      </c>
      <c r="B873" s="243"/>
      <c r="C873" s="1" t="s">
        <v>1264</v>
      </c>
      <c r="D873" s="1" t="s">
        <v>1265</v>
      </c>
      <c r="E873" s="1" t="s">
        <v>1246</v>
      </c>
      <c r="F873" s="193">
        <f t="shared" si="71"/>
        <v>15796.574259999999</v>
      </c>
      <c r="G873" s="193">
        <v>0</v>
      </c>
      <c r="H873" s="101">
        <v>13722.088659999999</v>
      </c>
      <c r="I873" s="101">
        <v>2074.4856</v>
      </c>
      <c r="J873" s="101">
        <v>0</v>
      </c>
      <c r="K873" s="16" t="s">
        <v>123</v>
      </c>
    </row>
    <row r="874" spans="1:12" s="28" customFormat="1" ht="52.8" x14ac:dyDescent="0.3">
      <c r="A874" s="53">
        <v>803</v>
      </c>
      <c r="B874" s="243"/>
      <c r="C874" s="1" t="s">
        <v>1266</v>
      </c>
      <c r="D874" s="1" t="s">
        <v>1267</v>
      </c>
      <c r="E874" s="1" t="s">
        <v>1246</v>
      </c>
      <c r="F874" s="193">
        <f t="shared" si="71"/>
        <v>1491.896</v>
      </c>
      <c r="G874" s="193">
        <v>0</v>
      </c>
      <c r="H874" s="101">
        <v>1491.896</v>
      </c>
      <c r="I874" s="101">
        <v>0</v>
      </c>
      <c r="J874" s="101">
        <v>0</v>
      </c>
      <c r="K874" s="16" t="s">
        <v>123</v>
      </c>
    </row>
    <row r="875" spans="1:12" s="28" customFormat="1" ht="39.6" x14ac:dyDescent="0.3">
      <c r="A875" s="53">
        <v>804</v>
      </c>
      <c r="B875" s="243"/>
      <c r="C875" s="1" t="s">
        <v>1268</v>
      </c>
      <c r="D875" s="1" t="s">
        <v>1269</v>
      </c>
      <c r="E875" s="1" t="s">
        <v>1246</v>
      </c>
      <c r="F875" s="193">
        <f t="shared" si="71"/>
        <v>6116.8187300000009</v>
      </c>
      <c r="G875" s="193">
        <v>1206.4226900000001</v>
      </c>
      <c r="H875" s="101">
        <v>4525.9963500000003</v>
      </c>
      <c r="I875" s="101">
        <v>384.39969000000002</v>
      </c>
      <c r="J875" s="101">
        <v>0</v>
      </c>
      <c r="K875" s="16" t="s">
        <v>120</v>
      </c>
    </row>
    <row r="876" spans="1:12" s="28" customFormat="1" ht="39.6" x14ac:dyDescent="0.3">
      <c r="A876" s="53">
        <v>805</v>
      </c>
      <c r="B876" s="243"/>
      <c r="C876" s="1" t="s">
        <v>1270</v>
      </c>
      <c r="D876" s="1" t="s">
        <v>1271</v>
      </c>
      <c r="E876" s="1" t="s">
        <v>1246</v>
      </c>
      <c r="F876" s="193">
        <f t="shared" si="71"/>
        <v>9073.4009999999998</v>
      </c>
      <c r="G876" s="193">
        <v>2360.0230000000001</v>
      </c>
      <c r="H876" s="101">
        <v>6713.3779999999997</v>
      </c>
      <c r="I876" s="101">
        <v>0</v>
      </c>
      <c r="J876" s="101">
        <v>0</v>
      </c>
      <c r="K876" s="16" t="s">
        <v>120</v>
      </c>
    </row>
    <row r="877" spans="1:12" s="28" customFormat="1" ht="26.4" x14ac:dyDescent="0.3">
      <c r="A877" s="53">
        <v>806</v>
      </c>
      <c r="B877" s="243"/>
      <c r="C877" s="1" t="s">
        <v>1272</v>
      </c>
      <c r="D877" s="1" t="s">
        <v>137</v>
      </c>
      <c r="E877" s="1" t="s">
        <v>1246</v>
      </c>
      <c r="F877" s="193">
        <f t="shared" si="71"/>
        <v>5050.8729599999997</v>
      </c>
      <c r="G877" s="193">
        <v>0</v>
      </c>
      <c r="H877" s="101">
        <v>4748.6006399999997</v>
      </c>
      <c r="I877" s="101">
        <v>302.27231999999998</v>
      </c>
      <c r="J877" s="101">
        <v>0</v>
      </c>
      <c r="K877" s="16" t="s">
        <v>123</v>
      </c>
    </row>
    <row r="878" spans="1:12" s="28" customFormat="1" ht="26.4" x14ac:dyDescent="0.3">
      <c r="A878" s="53">
        <v>807</v>
      </c>
      <c r="B878" s="244"/>
      <c r="C878" s="1" t="s">
        <v>1273</v>
      </c>
      <c r="D878" s="1" t="s">
        <v>165</v>
      </c>
      <c r="E878" s="1" t="s">
        <v>1246</v>
      </c>
      <c r="F878" s="193">
        <f t="shared" si="71"/>
        <v>779.25959999999998</v>
      </c>
      <c r="G878" s="193">
        <v>0</v>
      </c>
      <c r="H878" s="101">
        <v>779.25959999999998</v>
      </c>
      <c r="I878" s="101">
        <v>0</v>
      </c>
      <c r="J878" s="101">
        <v>0</v>
      </c>
      <c r="K878" s="16" t="s">
        <v>329</v>
      </c>
    </row>
    <row r="879" spans="1:12" s="32" customFormat="1" ht="28.2" customHeight="1" x14ac:dyDescent="0.3">
      <c r="A879" s="250" t="s">
        <v>1294</v>
      </c>
      <c r="B879" s="251"/>
      <c r="C879" s="252"/>
      <c r="D879" s="34"/>
      <c r="E879" s="34"/>
      <c r="F879" s="134">
        <f>SUM(F861:F878)</f>
        <v>88517.663659999977</v>
      </c>
      <c r="G879" s="134">
        <f t="shared" ref="G879:I879" si="72">SUM(G861:G878)</f>
        <v>5125.1822300000003</v>
      </c>
      <c r="H879" s="134">
        <f t="shared" si="72"/>
        <v>79868.116550000006</v>
      </c>
      <c r="I879" s="134">
        <f t="shared" si="72"/>
        <v>3524.3648800000001</v>
      </c>
      <c r="J879" s="134">
        <f>SUM(J861:J878)</f>
        <v>0</v>
      </c>
      <c r="K879" s="31"/>
      <c r="L879" s="58"/>
    </row>
    <row r="880" spans="1:12" s="28" customFormat="1" ht="66" x14ac:dyDescent="0.3">
      <c r="A880" s="13">
        <v>808</v>
      </c>
      <c r="B880" s="242" t="s">
        <v>1243</v>
      </c>
      <c r="C880" s="1" t="s">
        <v>1274</v>
      </c>
      <c r="D880" s="1" t="s">
        <v>1245</v>
      </c>
      <c r="E880" s="1" t="s">
        <v>1246</v>
      </c>
      <c r="F880" s="193">
        <f>G880+H880+I880</f>
        <v>12930</v>
      </c>
      <c r="G880" s="193">
        <v>0</v>
      </c>
      <c r="H880" s="101">
        <v>0</v>
      </c>
      <c r="I880" s="101">
        <v>12930</v>
      </c>
      <c r="J880" s="101">
        <v>0</v>
      </c>
      <c r="K880" s="16" t="s">
        <v>332</v>
      </c>
    </row>
    <row r="881" spans="1:11" s="28" customFormat="1" ht="26.4" x14ac:dyDescent="0.3">
      <c r="A881" s="13">
        <v>809</v>
      </c>
      <c r="B881" s="243"/>
      <c r="C881" s="1" t="s">
        <v>1275</v>
      </c>
      <c r="D881" s="1" t="s">
        <v>1190</v>
      </c>
      <c r="E881" s="1" t="s">
        <v>1246</v>
      </c>
      <c r="F881" s="193">
        <f t="shared" ref="F881:F896" si="73">G881+H881+I881</f>
        <v>1978.7744</v>
      </c>
      <c r="G881" s="193">
        <v>0</v>
      </c>
      <c r="H881" s="101">
        <v>0</v>
      </c>
      <c r="I881" s="101">
        <v>1978.7744</v>
      </c>
      <c r="J881" s="101">
        <v>0</v>
      </c>
      <c r="K881" s="16" t="s">
        <v>259</v>
      </c>
    </row>
    <row r="882" spans="1:11" s="28" customFormat="1" ht="26.4" x14ac:dyDescent="0.3">
      <c r="A882" s="53">
        <v>810</v>
      </c>
      <c r="B882" s="243"/>
      <c r="C882" s="1" t="s">
        <v>1276</v>
      </c>
      <c r="D882" s="1" t="s">
        <v>1249</v>
      </c>
      <c r="E882" s="1" t="s">
        <v>1246</v>
      </c>
      <c r="F882" s="193">
        <f t="shared" si="73"/>
        <v>616</v>
      </c>
      <c r="G882" s="193">
        <v>0</v>
      </c>
      <c r="H882" s="101">
        <v>0</v>
      </c>
      <c r="I882" s="101">
        <v>616</v>
      </c>
      <c r="J882" s="101">
        <v>0</v>
      </c>
      <c r="K882" s="16" t="s">
        <v>259</v>
      </c>
    </row>
    <row r="883" spans="1:11" s="28" customFormat="1" ht="26.4" x14ac:dyDescent="0.3">
      <c r="A883" s="53">
        <v>811</v>
      </c>
      <c r="B883" s="243"/>
      <c r="C883" s="1" t="s">
        <v>1277</v>
      </c>
      <c r="D883" s="1" t="s">
        <v>1251</v>
      </c>
      <c r="E883" s="1" t="s">
        <v>1246</v>
      </c>
      <c r="F883" s="193">
        <f t="shared" si="73"/>
        <v>114</v>
      </c>
      <c r="G883" s="193">
        <v>0</v>
      </c>
      <c r="H883" s="101">
        <v>0</v>
      </c>
      <c r="I883" s="101">
        <v>114</v>
      </c>
      <c r="J883" s="101">
        <v>0</v>
      </c>
      <c r="K883" s="16" t="s">
        <v>259</v>
      </c>
    </row>
    <row r="884" spans="1:11" s="28" customFormat="1" ht="39.6" x14ac:dyDescent="0.3">
      <c r="A884" s="53">
        <v>812</v>
      </c>
      <c r="B884" s="243"/>
      <c r="C884" s="1" t="s">
        <v>1278</v>
      </c>
      <c r="D884" s="1" t="s">
        <v>1253</v>
      </c>
      <c r="E884" s="1" t="s">
        <v>1246</v>
      </c>
      <c r="F884" s="193">
        <f t="shared" si="73"/>
        <v>496.80399999999997</v>
      </c>
      <c r="G884" s="193">
        <v>0</v>
      </c>
      <c r="H884" s="101">
        <v>0</v>
      </c>
      <c r="I884" s="101">
        <v>496.80399999999997</v>
      </c>
      <c r="J884" s="101">
        <v>0</v>
      </c>
      <c r="K884" s="16" t="s">
        <v>259</v>
      </c>
    </row>
    <row r="885" spans="1:11" s="28" customFormat="1" ht="26.4" x14ac:dyDescent="0.3">
      <c r="A885" s="53">
        <v>813</v>
      </c>
      <c r="B885" s="243"/>
      <c r="C885" s="1" t="s">
        <v>1279</v>
      </c>
      <c r="D885" s="1" t="s">
        <v>1255</v>
      </c>
      <c r="E885" s="1" t="s">
        <v>1246</v>
      </c>
      <c r="F885" s="193">
        <f t="shared" si="73"/>
        <v>1550.4</v>
      </c>
      <c r="G885" s="193">
        <v>0</v>
      </c>
      <c r="H885" s="101">
        <v>652.79999999999995</v>
      </c>
      <c r="I885" s="101">
        <v>897.6</v>
      </c>
      <c r="J885" s="101">
        <v>0</v>
      </c>
      <c r="K885" s="16" t="s">
        <v>568</v>
      </c>
    </row>
    <row r="886" spans="1:11" s="28" customFormat="1" ht="26.4" x14ac:dyDescent="0.3">
      <c r="A886" s="53">
        <v>814</v>
      </c>
      <c r="B886" s="243"/>
      <c r="C886" s="1" t="s">
        <v>1280</v>
      </c>
      <c r="D886" s="1" t="s">
        <v>1257</v>
      </c>
      <c r="E886" s="1" t="s">
        <v>1246</v>
      </c>
      <c r="F886" s="193">
        <f t="shared" si="73"/>
        <v>454.66629999999998</v>
      </c>
      <c r="G886" s="193">
        <v>0</v>
      </c>
      <c r="H886" s="193">
        <v>0</v>
      </c>
      <c r="I886" s="101">
        <v>454.66629999999998</v>
      </c>
      <c r="J886" s="101">
        <v>0</v>
      </c>
      <c r="K886" s="16" t="s">
        <v>332</v>
      </c>
    </row>
    <row r="887" spans="1:11" s="28" customFormat="1" ht="26.4" x14ac:dyDescent="0.3">
      <c r="A887" s="53">
        <v>815</v>
      </c>
      <c r="B887" s="243"/>
      <c r="C887" s="1" t="s">
        <v>1281</v>
      </c>
      <c r="D887" s="1" t="s">
        <v>137</v>
      </c>
      <c r="E887" s="1" t="s">
        <v>1246</v>
      </c>
      <c r="F887" s="193">
        <f t="shared" si="73"/>
        <v>1062.7547999999999</v>
      </c>
      <c r="G887" s="193">
        <v>0</v>
      </c>
      <c r="H887" s="193">
        <v>0</v>
      </c>
      <c r="I887" s="101">
        <v>1062.7547999999999</v>
      </c>
      <c r="J887" s="101">
        <v>0</v>
      </c>
      <c r="K887" s="16" t="s">
        <v>259</v>
      </c>
    </row>
    <row r="888" spans="1:11" s="28" customFormat="1" ht="26.4" x14ac:dyDescent="0.3">
      <c r="A888" s="53">
        <v>816</v>
      </c>
      <c r="B888" s="243"/>
      <c r="C888" s="1" t="s">
        <v>1282</v>
      </c>
      <c r="D888" s="1" t="s">
        <v>1260</v>
      </c>
      <c r="E888" s="1" t="s">
        <v>1246</v>
      </c>
      <c r="F888" s="193">
        <f t="shared" si="73"/>
        <v>13796</v>
      </c>
      <c r="G888" s="193">
        <v>0</v>
      </c>
      <c r="H888" s="193">
        <v>0</v>
      </c>
      <c r="I888" s="101">
        <v>13796</v>
      </c>
      <c r="J888" s="101">
        <v>0</v>
      </c>
      <c r="K888" s="16" t="s">
        <v>127</v>
      </c>
    </row>
    <row r="889" spans="1:11" s="28" customFormat="1" ht="26.4" x14ac:dyDescent="0.3">
      <c r="A889" s="53">
        <v>817</v>
      </c>
      <c r="B889" s="243"/>
      <c r="C889" s="1" t="s">
        <v>1283</v>
      </c>
      <c r="D889" s="1" t="s">
        <v>434</v>
      </c>
      <c r="E889" s="1" t="s">
        <v>1246</v>
      </c>
      <c r="F889" s="193">
        <f t="shared" si="73"/>
        <v>335.36317000000003</v>
      </c>
      <c r="G889" s="193">
        <v>0</v>
      </c>
      <c r="H889" s="101">
        <v>335.36317000000003</v>
      </c>
      <c r="I889" s="101">
        <v>0</v>
      </c>
      <c r="J889" s="101">
        <v>0</v>
      </c>
      <c r="K889" s="16" t="s">
        <v>126</v>
      </c>
    </row>
    <row r="890" spans="1:11" s="28" customFormat="1" ht="52.8" x14ac:dyDescent="0.3">
      <c r="A890" s="53">
        <v>818</v>
      </c>
      <c r="B890" s="243"/>
      <c r="C890" s="1" t="s">
        <v>1284</v>
      </c>
      <c r="D890" s="1" t="s">
        <v>1263</v>
      </c>
      <c r="E890" s="1" t="s">
        <v>1246</v>
      </c>
      <c r="F890" s="193">
        <f t="shared" si="73"/>
        <v>15423.7646</v>
      </c>
      <c r="G890" s="193">
        <v>0</v>
      </c>
      <c r="H890" s="193">
        <v>0</v>
      </c>
      <c r="I890" s="101">
        <v>15423.7646</v>
      </c>
      <c r="J890" s="101">
        <v>0</v>
      </c>
      <c r="K890" s="16" t="s">
        <v>127</v>
      </c>
    </row>
    <row r="891" spans="1:11" s="28" customFormat="1" ht="52.8" x14ac:dyDescent="0.3">
      <c r="A891" s="53">
        <v>819</v>
      </c>
      <c r="B891" s="243"/>
      <c r="C891" s="1" t="s">
        <v>1285</v>
      </c>
      <c r="D891" s="1" t="s">
        <v>1265</v>
      </c>
      <c r="E891" s="1" t="s">
        <v>1246</v>
      </c>
      <c r="F891" s="193">
        <f t="shared" si="73"/>
        <v>13722.088659999999</v>
      </c>
      <c r="G891" s="193">
        <v>0</v>
      </c>
      <c r="H891" s="193">
        <v>0</v>
      </c>
      <c r="I891" s="101">
        <v>13722.088659999999</v>
      </c>
      <c r="J891" s="101">
        <v>0</v>
      </c>
      <c r="K891" s="16" t="s">
        <v>127</v>
      </c>
    </row>
    <row r="892" spans="1:11" s="28" customFormat="1" ht="52.8" x14ac:dyDescent="0.3">
      <c r="A892" s="53">
        <v>820</v>
      </c>
      <c r="B892" s="243"/>
      <c r="C892" s="1" t="s">
        <v>1286</v>
      </c>
      <c r="D892" s="1" t="s">
        <v>1267</v>
      </c>
      <c r="E892" s="1" t="s">
        <v>1246</v>
      </c>
      <c r="F892" s="193">
        <f t="shared" si="73"/>
        <v>1491.896</v>
      </c>
      <c r="G892" s="193">
        <v>0</v>
      </c>
      <c r="H892" s="193">
        <v>0</v>
      </c>
      <c r="I892" s="101">
        <v>1491.896</v>
      </c>
      <c r="J892" s="101">
        <v>0</v>
      </c>
      <c r="K892" s="16" t="s">
        <v>127</v>
      </c>
    </row>
    <row r="893" spans="1:11" s="28" customFormat="1" ht="39.6" x14ac:dyDescent="0.3">
      <c r="A893" s="53">
        <v>821</v>
      </c>
      <c r="B893" s="243"/>
      <c r="C893" s="1" t="s">
        <v>1287</v>
      </c>
      <c r="D893" s="1" t="s">
        <v>1269</v>
      </c>
      <c r="E893" s="1" t="s">
        <v>1246</v>
      </c>
      <c r="F893" s="193">
        <f t="shared" si="73"/>
        <v>4141.5966600000002</v>
      </c>
      <c r="G893" s="193">
        <v>0</v>
      </c>
      <c r="H893" s="193">
        <v>0</v>
      </c>
      <c r="I893" s="101">
        <v>4141.5966600000002</v>
      </c>
      <c r="J893" s="101">
        <v>0</v>
      </c>
      <c r="K893" s="16" t="s">
        <v>127</v>
      </c>
    </row>
    <row r="894" spans="1:11" s="28" customFormat="1" ht="39.6" x14ac:dyDescent="0.3">
      <c r="A894" s="53">
        <v>822</v>
      </c>
      <c r="B894" s="243"/>
      <c r="C894" s="1" t="s">
        <v>1288</v>
      </c>
      <c r="D894" s="1" t="s">
        <v>1271</v>
      </c>
      <c r="E894" s="1" t="s">
        <v>1246</v>
      </c>
      <c r="F894" s="193">
        <f t="shared" si="73"/>
        <v>6713.3779999999997</v>
      </c>
      <c r="G894" s="193">
        <v>0</v>
      </c>
      <c r="H894" s="193">
        <v>0</v>
      </c>
      <c r="I894" s="101">
        <v>6713.3779999999997</v>
      </c>
      <c r="J894" s="101">
        <v>0</v>
      </c>
      <c r="K894" s="16" t="s">
        <v>127</v>
      </c>
    </row>
    <row r="895" spans="1:11" s="28" customFormat="1" ht="26.4" x14ac:dyDescent="0.3">
      <c r="A895" s="53">
        <v>823</v>
      </c>
      <c r="B895" s="243"/>
      <c r="C895" s="1" t="s">
        <v>1289</v>
      </c>
      <c r="D895" s="1" t="s">
        <v>137</v>
      </c>
      <c r="E895" s="1" t="s">
        <v>1246</v>
      </c>
      <c r="F895" s="193">
        <f t="shared" si="73"/>
        <v>4748.6006399999997</v>
      </c>
      <c r="G895" s="193">
        <v>0</v>
      </c>
      <c r="H895" s="193">
        <v>0</v>
      </c>
      <c r="I895" s="101">
        <v>4748.6006399999997</v>
      </c>
      <c r="J895" s="101">
        <v>0</v>
      </c>
      <c r="K895" s="16" t="s">
        <v>127</v>
      </c>
    </row>
    <row r="896" spans="1:11" s="28" customFormat="1" ht="26.4" x14ac:dyDescent="0.3">
      <c r="A896" s="53">
        <v>824</v>
      </c>
      <c r="B896" s="244"/>
      <c r="C896" s="1" t="s">
        <v>1290</v>
      </c>
      <c r="D896" s="1" t="s">
        <v>165</v>
      </c>
      <c r="E896" s="1" t="s">
        <v>1246</v>
      </c>
      <c r="F896" s="193">
        <f t="shared" si="73"/>
        <v>876.14558999999997</v>
      </c>
      <c r="G896" s="193">
        <v>0</v>
      </c>
      <c r="H896" s="193">
        <v>0</v>
      </c>
      <c r="I896" s="101">
        <v>876.14558999999997</v>
      </c>
      <c r="J896" s="101">
        <v>0</v>
      </c>
      <c r="K896" s="16" t="s">
        <v>259</v>
      </c>
    </row>
    <row r="897" spans="1:12" s="32" customFormat="1" ht="30" customHeight="1" x14ac:dyDescent="0.3">
      <c r="A897" s="240" t="s">
        <v>1295</v>
      </c>
      <c r="B897" s="240"/>
      <c r="C897" s="240"/>
      <c r="D897" s="31"/>
      <c r="E897" s="31"/>
      <c r="F897" s="134">
        <f>SUM(F880:F896)</f>
        <v>80452.232820000005</v>
      </c>
      <c r="G897" s="134">
        <f>SUM(G880:G896)</f>
        <v>0</v>
      </c>
      <c r="H897" s="134">
        <f>SUM(H880:H896)</f>
        <v>988.16317000000004</v>
      </c>
      <c r="I897" s="134">
        <f>SUM(I880:I896)</f>
        <v>79464.069650000005</v>
      </c>
      <c r="J897" s="134">
        <f>SUM(J880:J896)</f>
        <v>0</v>
      </c>
      <c r="K897" s="31"/>
      <c r="L897" s="58"/>
    </row>
    <row r="898" spans="1:12" s="28" customFormat="1" ht="26.4" x14ac:dyDescent="0.3">
      <c r="A898" s="13">
        <v>825</v>
      </c>
      <c r="B898" s="242" t="s">
        <v>1243</v>
      </c>
      <c r="C898" s="1" t="s">
        <v>1291</v>
      </c>
      <c r="D898" s="1" t="s">
        <v>1255</v>
      </c>
      <c r="E898" s="1" t="s">
        <v>1246</v>
      </c>
      <c r="F898" s="193">
        <f t="shared" ref="F898" si="74">G898+H898+I898</f>
        <v>652.79999999999995</v>
      </c>
      <c r="G898" s="193">
        <v>0</v>
      </c>
      <c r="H898" s="101">
        <v>0</v>
      </c>
      <c r="I898" s="101">
        <v>652.79999999999995</v>
      </c>
      <c r="J898" s="101">
        <v>0</v>
      </c>
      <c r="K898" s="16" t="s">
        <v>1292</v>
      </c>
    </row>
    <row r="899" spans="1:12" s="28" customFormat="1" ht="26.4" x14ac:dyDescent="0.3">
      <c r="A899" s="13">
        <v>826</v>
      </c>
      <c r="B899" s="244"/>
      <c r="C899" s="1" t="s">
        <v>1293</v>
      </c>
      <c r="D899" s="1" t="s">
        <v>434</v>
      </c>
      <c r="E899" s="1" t="s">
        <v>1246</v>
      </c>
      <c r="F899" s="193">
        <f>G899+H899+I899</f>
        <v>335.36317000000003</v>
      </c>
      <c r="G899" s="193">
        <v>0</v>
      </c>
      <c r="H899" s="101">
        <v>0</v>
      </c>
      <c r="I899" s="101">
        <v>335.36317000000003</v>
      </c>
      <c r="J899" s="101">
        <v>0</v>
      </c>
      <c r="K899" s="16" t="s">
        <v>130</v>
      </c>
    </row>
    <row r="900" spans="1:12" s="32" customFormat="1" ht="34.200000000000003" customHeight="1" x14ac:dyDescent="0.3">
      <c r="A900" s="240" t="s">
        <v>1296</v>
      </c>
      <c r="B900" s="240"/>
      <c r="C900" s="240"/>
      <c r="D900" s="31"/>
      <c r="E900" s="31"/>
      <c r="F900" s="134">
        <f>SUM(F898:F899)</f>
        <v>988.16317000000004</v>
      </c>
      <c r="G900" s="134">
        <f>SUM(G898:G899)</f>
        <v>0</v>
      </c>
      <c r="H900" s="134">
        <f>SUM(H898:H899)</f>
        <v>0</v>
      </c>
      <c r="I900" s="134">
        <f>SUM(I898:I899)</f>
        <v>988.16317000000004</v>
      </c>
      <c r="J900" s="134">
        <f>SUM(J898:J899)</f>
        <v>0</v>
      </c>
      <c r="K900" s="31"/>
    </row>
    <row r="901" spans="1:12" s="28" customFormat="1" ht="52.8" x14ac:dyDescent="0.3">
      <c r="A901" s="13">
        <v>827</v>
      </c>
      <c r="B901" s="242" t="s">
        <v>1297</v>
      </c>
      <c r="C901" s="1" t="s">
        <v>1298</v>
      </c>
      <c r="D901" s="1" t="s">
        <v>1299</v>
      </c>
      <c r="E901" s="13" t="s">
        <v>19</v>
      </c>
      <c r="F901" s="101">
        <v>506.68753000000004</v>
      </c>
      <c r="G901" s="101">
        <v>506.68753000000004</v>
      </c>
      <c r="H901" s="101">
        <v>0</v>
      </c>
      <c r="I901" s="101">
        <v>0</v>
      </c>
      <c r="J901" s="101">
        <v>0</v>
      </c>
      <c r="K901" s="16" t="s">
        <v>166</v>
      </c>
    </row>
    <row r="902" spans="1:12" s="28" customFormat="1" ht="26.4" x14ac:dyDescent="0.3">
      <c r="A902" s="13">
        <v>828</v>
      </c>
      <c r="B902" s="243"/>
      <c r="C902" s="1" t="s">
        <v>1300</v>
      </c>
      <c r="D902" s="1" t="s">
        <v>1301</v>
      </c>
      <c r="E902" s="13" t="s">
        <v>19</v>
      </c>
      <c r="F902" s="101">
        <v>15551.21674</v>
      </c>
      <c r="G902" s="101">
        <v>15551.21674</v>
      </c>
      <c r="H902" s="101">
        <v>0</v>
      </c>
      <c r="I902" s="101">
        <v>0</v>
      </c>
      <c r="J902" s="101">
        <v>0</v>
      </c>
      <c r="K902" s="16" t="s">
        <v>166</v>
      </c>
    </row>
    <row r="903" spans="1:12" s="28" customFormat="1" ht="26.4" x14ac:dyDescent="0.3">
      <c r="A903" s="13">
        <v>829</v>
      </c>
      <c r="B903" s="243"/>
      <c r="C903" s="1" t="s">
        <v>1302</v>
      </c>
      <c r="D903" s="1" t="s">
        <v>1507</v>
      </c>
      <c r="E903" s="13" t="s">
        <v>19</v>
      </c>
      <c r="F903" s="101">
        <v>22320.270270000001</v>
      </c>
      <c r="G903" s="101">
        <v>22320.270270000001</v>
      </c>
      <c r="H903" s="101">
        <v>0</v>
      </c>
      <c r="I903" s="101">
        <v>0</v>
      </c>
      <c r="J903" s="101">
        <v>0</v>
      </c>
      <c r="K903" s="16" t="s">
        <v>166</v>
      </c>
    </row>
    <row r="904" spans="1:12" s="28" customFormat="1" ht="26.4" x14ac:dyDescent="0.3">
      <c r="A904" s="13">
        <v>830</v>
      </c>
      <c r="B904" s="243"/>
      <c r="C904" s="1" t="s">
        <v>1303</v>
      </c>
      <c r="D904" s="1" t="s">
        <v>1508</v>
      </c>
      <c r="E904" s="13" t="s">
        <v>19</v>
      </c>
      <c r="F904" s="101">
        <v>54597.615079999996</v>
      </c>
      <c r="G904" s="101">
        <v>54597.615079999996</v>
      </c>
      <c r="H904" s="101">
        <v>0</v>
      </c>
      <c r="I904" s="101">
        <v>0</v>
      </c>
      <c r="J904" s="101">
        <v>0</v>
      </c>
      <c r="K904" s="16" t="s">
        <v>120</v>
      </c>
    </row>
    <row r="905" spans="1:12" s="28" customFormat="1" ht="26.4" x14ac:dyDescent="0.3">
      <c r="A905" s="13">
        <v>831</v>
      </c>
      <c r="B905" s="243"/>
      <c r="C905" s="1" t="s">
        <v>1304</v>
      </c>
      <c r="D905" s="1" t="s">
        <v>1509</v>
      </c>
      <c r="E905" s="13" t="s">
        <v>19</v>
      </c>
      <c r="F905" s="101">
        <v>44943.672119999996</v>
      </c>
      <c r="G905" s="101">
        <v>44943.672119999996</v>
      </c>
      <c r="H905" s="101">
        <v>0</v>
      </c>
      <c r="I905" s="101">
        <v>0</v>
      </c>
      <c r="J905" s="101">
        <v>0</v>
      </c>
      <c r="K905" s="16" t="s">
        <v>120</v>
      </c>
    </row>
    <row r="906" spans="1:12" s="28" customFormat="1" ht="26.4" x14ac:dyDescent="0.3">
      <c r="A906" s="13">
        <v>832</v>
      </c>
      <c r="B906" s="243"/>
      <c r="C906" s="1" t="s">
        <v>1305</v>
      </c>
      <c r="D906" s="1" t="s">
        <v>1510</v>
      </c>
      <c r="E906" s="13" t="s">
        <v>19</v>
      </c>
      <c r="F906" s="101">
        <v>33907.281189999994</v>
      </c>
      <c r="G906" s="101">
        <v>33907.281189999994</v>
      </c>
      <c r="H906" s="101">
        <v>0</v>
      </c>
      <c r="I906" s="101">
        <v>0</v>
      </c>
      <c r="J906" s="101">
        <v>0</v>
      </c>
      <c r="K906" s="16" t="s">
        <v>120</v>
      </c>
    </row>
    <row r="907" spans="1:12" s="28" customFormat="1" ht="26.4" x14ac:dyDescent="0.3">
      <c r="A907" s="13">
        <v>833</v>
      </c>
      <c r="B907" s="243"/>
      <c r="C907" s="1" t="s">
        <v>1306</v>
      </c>
      <c r="D907" s="1" t="s">
        <v>1307</v>
      </c>
      <c r="E907" s="13" t="s">
        <v>19</v>
      </c>
      <c r="F907" s="101">
        <v>5333.93912</v>
      </c>
      <c r="G907" s="101">
        <v>5333.93912</v>
      </c>
      <c r="H907" s="101">
        <v>0</v>
      </c>
      <c r="I907" s="101">
        <v>0</v>
      </c>
      <c r="J907" s="101">
        <v>0</v>
      </c>
      <c r="K907" s="16" t="s">
        <v>166</v>
      </c>
    </row>
    <row r="908" spans="1:12" s="28" customFormat="1" ht="26.4" x14ac:dyDescent="0.3">
      <c r="A908" s="53">
        <v>834</v>
      </c>
      <c r="B908" s="243"/>
      <c r="C908" s="1" t="s">
        <v>1308</v>
      </c>
      <c r="D908" s="1" t="s">
        <v>1309</v>
      </c>
      <c r="E908" s="13" t="s">
        <v>19</v>
      </c>
      <c r="F908" s="101">
        <v>13303.42755</v>
      </c>
      <c r="G908" s="101">
        <v>13303.42755</v>
      </c>
      <c r="H908" s="101">
        <v>0</v>
      </c>
      <c r="I908" s="101">
        <v>0</v>
      </c>
      <c r="J908" s="101">
        <v>0</v>
      </c>
      <c r="K908" s="16" t="s">
        <v>166</v>
      </c>
    </row>
    <row r="909" spans="1:12" s="28" customFormat="1" ht="66" x14ac:dyDescent="0.3">
      <c r="A909" s="53">
        <v>835</v>
      </c>
      <c r="B909" s="243"/>
      <c r="C909" s="1" t="s">
        <v>1310</v>
      </c>
      <c r="D909" s="1" t="s">
        <v>1311</v>
      </c>
      <c r="E909" s="13" t="s">
        <v>19</v>
      </c>
      <c r="F909" s="101">
        <v>687.92131000000006</v>
      </c>
      <c r="G909" s="101">
        <v>687.92131000000006</v>
      </c>
      <c r="H909" s="101">
        <v>0</v>
      </c>
      <c r="I909" s="101">
        <v>0</v>
      </c>
      <c r="J909" s="101">
        <v>0</v>
      </c>
      <c r="K909" s="16" t="s">
        <v>166</v>
      </c>
    </row>
    <row r="910" spans="1:12" s="28" customFormat="1" ht="66" x14ac:dyDescent="0.3">
      <c r="A910" s="53">
        <v>836</v>
      </c>
      <c r="B910" s="243"/>
      <c r="C910" s="1" t="s">
        <v>1312</v>
      </c>
      <c r="D910" s="1" t="s">
        <v>1313</v>
      </c>
      <c r="E910" s="13" t="s">
        <v>19</v>
      </c>
      <c r="F910" s="101">
        <v>204.53445000000002</v>
      </c>
      <c r="G910" s="101">
        <v>204.53445000000002</v>
      </c>
      <c r="H910" s="101">
        <v>0</v>
      </c>
      <c r="I910" s="101">
        <v>0</v>
      </c>
      <c r="J910" s="101">
        <v>0</v>
      </c>
      <c r="K910" s="16" t="s">
        <v>1314</v>
      </c>
    </row>
    <row r="911" spans="1:12" s="28" customFormat="1" ht="52.8" x14ac:dyDescent="0.3">
      <c r="A911" s="53">
        <v>837</v>
      </c>
      <c r="B911" s="243"/>
      <c r="C911" s="1" t="s">
        <v>1315</v>
      </c>
      <c r="D911" s="1" t="s">
        <v>1316</v>
      </c>
      <c r="E911" s="13" t="s">
        <v>19</v>
      </c>
      <c r="F911" s="101">
        <v>3767.9496600000002</v>
      </c>
      <c r="G911" s="101">
        <v>3767.9496600000002</v>
      </c>
      <c r="H911" s="101">
        <v>0</v>
      </c>
      <c r="I911" s="101">
        <v>0</v>
      </c>
      <c r="J911" s="101">
        <v>0</v>
      </c>
      <c r="K911" s="16" t="s">
        <v>120</v>
      </c>
    </row>
    <row r="912" spans="1:12" s="28" customFormat="1" ht="52.8" x14ac:dyDescent="0.3">
      <c r="A912" s="53">
        <v>838</v>
      </c>
      <c r="B912" s="243"/>
      <c r="C912" s="1" t="s">
        <v>1317</v>
      </c>
      <c r="D912" s="1" t="s">
        <v>1318</v>
      </c>
      <c r="E912" s="13" t="s">
        <v>19</v>
      </c>
      <c r="F912" s="101">
        <v>1609.3558</v>
      </c>
      <c r="G912" s="101">
        <v>1609.3558</v>
      </c>
      <c r="H912" s="101">
        <v>0</v>
      </c>
      <c r="I912" s="101">
        <v>0</v>
      </c>
      <c r="J912" s="101">
        <v>0</v>
      </c>
      <c r="K912" s="16" t="s">
        <v>120</v>
      </c>
    </row>
    <row r="913" spans="1:11" s="28" customFormat="1" ht="66" x14ac:dyDescent="0.3">
      <c r="A913" s="53">
        <v>839</v>
      </c>
      <c r="B913" s="243"/>
      <c r="C913" s="1" t="s">
        <v>1319</v>
      </c>
      <c r="D913" s="1" t="s">
        <v>1320</v>
      </c>
      <c r="E913" s="13" t="s">
        <v>19</v>
      </c>
      <c r="F913" s="101">
        <v>1268.3451599999999</v>
      </c>
      <c r="G913" s="101">
        <v>1268.3451599999999</v>
      </c>
      <c r="H913" s="101">
        <v>0</v>
      </c>
      <c r="I913" s="101">
        <v>0</v>
      </c>
      <c r="J913" s="101">
        <v>0</v>
      </c>
      <c r="K913" s="16" t="s">
        <v>166</v>
      </c>
    </row>
    <row r="914" spans="1:11" s="28" customFormat="1" ht="66" x14ac:dyDescent="0.3">
      <c r="A914" s="53">
        <v>840</v>
      </c>
      <c r="B914" s="243"/>
      <c r="C914" s="1" t="s">
        <v>1321</v>
      </c>
      <c r="D914" s="1" t="s">
        <v>1320</v>
      </c>
      <c r="E914" s="13" t="s">
        <v>19</v>
      </c>
      <c r="F914" s="101">
        <v>1907.0617199999999</v>
      </c>
      <c r="G914" s="101">
        <v>1907.0617199999999</v>
      </c>
      <c r="H914" s="101">
        <v>0</v>
      </c>
      <c r="I914" s="101">
        <v>0</v>
      </c>
      <c r="J914" s="101">
        <v>0</v>
      </c>
      <c r="K914" s="16" t="s">
        <v>166</v>
      </c>
    </row>
    <row r="915" spans="1:11" s="28" customFormat="1" ht="52.8" x14ac:dyDescent="0.3">
      <c r="A915" s="53">
        <v>841</v>
      </c>
      <c r="B915" s="243"/>
      <c r="C915" s="1" t="s">
        <v>1322</v>
      </c>
      <c r="D915" s="1" t="s">
        <v>1323</v>
      </c>
      <c r="E915" s="13" t="s">
        <v>19</v>
      </c>
      <c r="F915" s="101">
        <v>6443.3463700000002</v>
      </c>
      <c r="G915" s="101">
        <v>6443.3463700000002</v>
      </c>
      <c r="H915" s="101">
        <v>0</v>
      </c>
      <c r="I915" s="101">
        <v>0</v>
      </c>
      <c r="J915" s="101">
        <v>0</v>
      </c>
      <c r="K915" s="16" t="s">
        <v>120</v>
      </c>
    </row>
    <row r="916" spans="1:11" s="28" customFormat="1" ht="66" x14ac:dyDescent="0.3">
      <c r="A916" s="53">
        <v>842</v>
      </c>
      <c r="B916" s="243"/>
      <c r="C916" s="1" t="s">
        <v>1324</v>
      </c>
      <c r="D916" s="1" t="s">
        <v>1325</v>
      </c>
      <c r="E916" s="13" t="s">
        <v>19</v>
      </c>
      <c r="F916" s="101">
        <v>1323.5829199999998</v>
      </c>
      <c r="G916" s="101">
        <v>1323.5829199999998</v>
      </c>
      <c r="H916" s="101">
        <v>0</v>
      </c>
      <c r="I916" s="101">
        <v>0</v>
      </c>
      <c r="J916" s="101">
        <v>0</v>
      </c>
      <c r="K916" s="16" t="s">
        <v>120</v>
      </c>
    </row>
    <row r="917" spans="1:11" s="28" customFormat="1" ht="66" x14ac:dyDescent="0.3">
      <c r="A917" s="53">
        <v>843</v>
      </c>
      <c r="B917" s="243"/>
      <c r="C917" s="1" t="s">
        <v>1326</v>
      </c>
      <c r="D917" s="1" t="s">
        <v>1327</v>
      </c>
      <c r="E917" s="13" t="s">
        <v>19</v>
      </c>
      <c r="F917" s="101">
        <v>3236.3808100000001</v>
      </c>
      <c r="G917" s="101">
        <v>3236.3808100000001</v>
      </c>
      <c r="H917" s="101">
        <v>0</v>
      </c>
      <c r="I917" s="101">
        <v>0</v>
      </c>
      <c r="J917" s="101">
        <v>0</v>
      </c>
      <c r="K917" s="16" t="s">
        <v>120</v>
      </c>
    </row>
    <row r="918" spans="1:11" s="28" customFormat="1" ht="66" x14ac:dyDescent="0.3">
      <c r="A918" s="53">
        <v>844</v>
      </c>
      <c r="B918" s="243"/>
      <c r="C918" s="1" t="s">
        <v>1328</v>
      </c>
      <c r="D918" s="1" t="s">
        <v>1329</v>
      </c>
      <c r="E918" s="13" t="s">
        <v>19</v>
      </c>
      <c r="F918" s="101">
        <v>3339.9975399999998</v>
      </c>
      <c r="G918" s="101">
        <v>3339.9975399999998</v>
      </c>
      <c r="H918" s="101">
        <v>0</v>
      </c>
      <c r="I918" s="101">
        <v>0</v>
      </c>
      <c r="J918" s="101">
        <v>0</v>
      </c>
      <c r="K918" s="16" t="s">
        <v>120</v>
      </c>
    </row>
    <row r="919" spans="1:11" s="28" customFormat="1" ht="39.6" x14ac:dyDescent="0.3">
      <c r="A919" s="53">
        <v>845</v>
      </c>
      <c r="B919" s="243"/>
      <c r="C919" s="1" t="s">
        <v>1330</v>
      </c>
      <c r="D919" s="1" t="s">
        <v>1331</v>
      </c>
      <c r="E919" s="13" t="s">
        <v>19</v>
      </c>
      <c r="F919" s="101">
        <v>3807.7198100000001</v>
      </c>
      <c r="G919" s="101">
        <v>3807.7198100000001</v>
      </c>
      <c r="H919" s="101">
        <v>0</v>
      </c>
      <c r="I919" s="101">
        <v>0</v>
      </c>
      <c r="J919" s="101">
        <v>0</v>
      </c>
      <c r="K919" s="16" t="s">
        <v>1314</v>
      </c>
    </row>
    <row r="920" spans="1:11" s="28" customFormat="1" ht="57.6" customHeight="1" x14ac:dyDescent="0.3">
      <c r="A920" s="53">
        <v>846</v>
      </c>
      <c r="B920" s="243"/>
      <c r="C920" s="1" t="s">
        <v>1332</v>
      </c>
      <c r="D920" s="1" t="s">
        <v>1333</v>
      </c>
      <c r="E920" s="13" t="s">
        <v>19</v>
      </c>
      <c r="F920" s="101">
        <v>513.55372</v>
      </c>
      <c r="G920" s="101">
        <v>513.55372</v>
      </c>
      <c r="H920" s="101">
        <v>0</v>
      </c>
      <c r="I920" s="101">
        <v>0</v>
      </c>
      <c r="J920" s="101">
        <v>0</v>
      </c>
      <c r="K920" s="16" t="s">
        <v>120</v>
      </c>
    </row>
    <row r="921" spans="1:11" s="28" customFormat="1" ht="56.4" customHeight="1" x14ac:dyDescent="0.3">
      <c r="A921" s="53">
        <v>847</v>
      </c>
      <c r="B921" s="243"/>
      <c r="C921" s="1" t="s">
        <v>1334</v>
      </c>
      <c r="D921" s="1" t="s">
        <v>1335</v>
      </c>
      <c r="E921" s="13" t="s">
        <v>19</v>
      </c>
      <c r="F921" s="101">
        <v>387.6123</v>
      </c>
      <c r="G921" s="101">
        <v>387.6123</v>
      </c>
      <c r="H921" s="101">
        <v>0</v>
      </c>
      <c r="I921" s="101">
        <v>0</v>
      </c>
      <c r="J921" s="101">
        <v>0</v>
      </c>
      <c r="K921" s="16" t="s">
        <v>120</v>
      </c>
    </row>
    <row r="922" spans="1:11" s="28" customFormat="1" ht="57.6" customHeight="1" x14ac:dyDescent="0.3">
      <c r="A922" s="53">
        <v>848</v>
      </c>
      <c r="B922" s="243"/>
      <c r="C922" s="1" t="s">
        <v>1336</v>
      </c>
      <c r="D922" s="1" t="s">
        <v>1337</v>
      </c>
      <c r="E922" s="13" t="s">
        <v>19</v>
      </c>
      <c r="F922" s="101">
        <v>513.55372</v>
      </c>
      <c r="G922" s="101">
        <v>513.55372</v>
      </c>
      <c r="H922" s="101">
        <v>0</v>
      </c>
      <c r="I922" s="101">
        <v>0</v>
      </c>
      <c r="J922" s="101">
        <v>0</v>
      </c>
      <c r="K922" s="16" t="s">
        <v>120</v>
      </c>
    </row>
    <row r="923" spans="1:11" s="28" customFormat="1" ht="45.6" customHeight="1" x14ac:dyDescent="0.3">
      <c r="A923" s="53">
        <v>849</v>
      </c>
      <c r="B923" s="243"/>
      <c r="C923" s="1" t="s">
        <v>1338</v>
      </c>
      <c r="D923" s="1" t="s">
        <v>1339</v>
      </c>
      <c r="E923" s="13" t="s">
        <v>19</v>
      </c>
      <c r="F923" s="101">
        <v>5076.1761500000002</v>
      </c>
      <c r="G923" s="101">
        <v>5076.1761500000002</v>
      </c>
      <c r="H923" s="101">
        <v>0</v>
      </c>
      <c r="I923" s="101">
        <v>0</v>
      </c>
      <c r="J923" s="101">
        <v>0</v>
      </c>
      <c r="K923" s="16" t="s">
        <v>1314</v>
      </c>
    </row>
    <row r="924" spans="1:11" s="28" customFormat="1" ht="56.4" customHeight="1" x14ac:dyDescent="0.3">
      <c r="A924" s="53">
        <v>850</v>
      </c>
      <c r="B924" s="243"/>
      <c r="C924" s="1" t="s">
        <v>1340</v>
      </c>
      <c r="D924" s="1" t="s">
        <v>1341</v>
      </c>
      <c r="E924" s="13" t="s">
        <v>19</v>
      </c>
      <c r="F924" s="101">
        <v>815.32199000000003</v>
      </c>
      <c r="G924" s="101">
        <v>815.32199000000003</v>
      </c>
      <c r="H924" s="101">
        <v>0</v>
      </c>
      <c r="I924" s="101">
        <v>0</v>
      </c>
      <c r="J924" s="101">
        <v>0</v>
      </c>
      <c r="K924" s="16" t="s">
        <v>120</v>
      </c>
    </row>
    <row r="925" spans="1:11" s="28" customFormat="1" ht="26.4" x14ac:dyDescent="0.3">
      <c r="A925" s="53">
        <v>851</v>
      </c>
      <c r="B925" s="243"/>
      <c r="C925" s="1" t="s">
        <v>1342</v>
      </c>
      <c r="D925" s="1" t="s">
        <v>1343</v>
      </c>
      <c r="E925" s="13" t="s">
        <v>19</v>
      </c>
      <c r="F925" s="101">
        <v>2068.73848</v>
      </c>
      <c r="G925" s="101">
        <v>2068.73848</v>
      </c>
      <c r="H925" s="101">
        <v>0</v>
      </c>
      <c r="I925" s="101">
        <v>0</v>
      </c>
      <c r="J925" s="101">
        <v>0</v>
      </c>
      <c r="K925" s="16" t="s">
        <v>166</v>
      </c>
    </row>
    <row r="926" spans="1:11" s="28" customFormat="1" ht="26.4" x14ac:dyDescent="0.3">
      <c r="A926" s="53">
        <v>852</v>
      </c>
      <c r="B926" s="243"/>
      <c r="C926" s="1" t="s">
        <v>1344</v>
      </c>
      <c r="D926" s="1" t="s">
        <v>1345</v>
      </c>
      <c r="E926" s="13" t="s">
        <v>19</v>
      </c>
      <c r="F926" s="101">
        <v>4268.7461800000001</v>
      </c>
      <c r="G926" s="101">
        <v>4268.7461800000001</v>
      </c>
      <c r="H926" s="101">
        <v>0</v>
      </c>
      <c r="I926" s="101">
        <v>0</v>
      </c>
      <c r="J926" s="101">
        <v>0</v>
      </c>
      <c r="K926" s="16" t="s">
        <v>166</v>
      </c>
    </row>
    <row r="927" spans="1:11" s="28" customFormat="1" ht="26.4" x14ac:dyDescent="0.3">
      <c r="A927" s="53">
        <v>853</v>
      </c>
      <c r="B927" s="243"/>
      <c r="C927" s="1" t="s">
        <v>1346</v>
      </c>
      <c r="D927" s="1" t="s">
        <v>1347</v>
      </c>
      <c r="E927" s="13" t="s">
        <v>19</v>
      </c>
      <c r="F927" s="101">
        <v>3793.9585000000002</v>
      </c>
      <c r="G927" s="101">
        <v>3793.9585000000002</v>
      </c>
      <c r="H927" s="101">
        <v>0</v>
      </c>
      <c r="I927" s="101">
        <v>0</v>
      </c>
      <c r="J927" s="101">
        <v>0</v>
      </c>
      <c r="K927" s="16" t="s">
        <v>120</v>
      </c>
    </row>
    <row r="928" spans="1:11" s="28" customFormat="1" ht="26.4" x14ac:dyDescent="0.3">
      <c r="A928" s="53">
        <v>854</v>
      </c>
      <c r="B928" s="243"/>
      <c r="C928" s="1" t="s">
        <v>1348</v>
      </c>
      <c r="D928" s="1" t="s">
        <v>1349</v>
      </c>
      <c r="E928" s="13" t="s">
        <v>19</v>
      </c>
      <c r="F928" s="101">
        <v>1995.5348300000001</v>
      </c>
      <c r="G928" s="101">
        <v>1995.5348300000001</v>
      </c>
      <c r="H928" s="101">
        <v>0</v>
      </c>
      <c r="I928" s="101">
        <v>0</v>
      </c>
      <c r="J928" s="101">
        <v>0</v>
      </c>
      <c r="K928" s="16" t="s">
        <v>166</v>
      </c>
    </row>
    <row r="929" spans="1:11" s="28" customFormat="1" ht="26.4" x14ac:dyDescent="0.3">
      <c r="A929" s="53">
        <v>855</v>
      </c>
      <c r="B929" s="243"/>
      <c r="C929" s="1" t="s">
        <v>1350</v>
      </c>
      <c r="D929" s="1" t="s">
        <v>1351</v>
      </c>
      <c r="E929" s="13" t="s">
        <v>19</v>
      </c>
      <c r="F929" s="101">
        <v>3659.6</v>
      </c>
      <c r="G929" s="101">
        <v>3659.6</v>
      </c>
      <c r="H929" s="101">
        <v>0</v>
      </c>
      <c r="I929" s="101">
        <v>0</v>
      </c>
      <c r="J929" s="101">
        <v>0</v>
      </c>
      <c r="K929" s="16" t="s">
        <v>120</v>
      </c>
    </row>
    <row r="930" spans="1:11" s="28" customFormat="1" ht="26.4" x14ac:dyDescent="0.3">
      <c r="A930" s="53">
        <v>856</v>
      </c>
      <c r="B930" s="243"/>
      <c r="C930" s="1" t="s">
        <v>1352</v>
      </c>
      <c r="D930" s="1" t="s">
        <v>1353</v>
      </c>
      <c r="E930" s="13" t="s">
        <v>19</v>
      </c>
      <c r="F930" s="101">
        <v>268.96298999999999</v>
      </c>
      <c r="G930" s="101">
        <v>268.96298999999999</v>
      </c>
      <c r="H930" s="101">
        <v>0</v>
      </c>
      <c r="I930" s="101">
        <v>0</v>
      </c>
      <c r="J930" s="101">
        <v>0</v>
      </c>
      <c r="K930" s="16" t="s">
        <v>166</v>
      </c>
    </row>
    <row r="931" spans="1:11" s="28" customFormat="1" ht="26.4" x14ac:dyDescent="0.3">
      <c r="A931" s="53">
        <v>857</v>
      </c>
      <c r="B931" s="243"/>
      <c r="C931" s="1" t="s">
        <v>1354</v>
      </c>
      <c r="D931" s="1" t="s">
        <v>1355</v>
      </c>
      <c r="E931" s="13" t="s">
        <v>19</v>
      </c>
      <c r="F931" s="101">
        <v>4291.7982199999997</v>
      </c>
      <c r="G931" s="101">
        <v>4291.7982199999997</v>
      </c>
      <c r="H931" s="101">
        <v>0</v>
      </c>
      <c r="I931" s="101">
        <v>0</v>
      </c>
      <c r="J931" s="101">
        <v>0</v>
      </c>
      <c r="K931" s="16" t="s">
        <v>120</v>
      </c>
    </row>
    <row r="932" spans="1:11" s="28" customFormat="1" ht="26.4" x14ac:dyDescent="0.3">
      <c r="A932" s="53">
        <v>858</v>
      </c>
      <c r="B932" s="243"/>
      <c r="C932" s="1" t="s">
        <v>1356</v>
      </c>
      <c r="D932" s="1" t="s">
        <v>1357</v>
      </c>
      <c r="E932" s="13" t="s">
        <v>19</v>
      </c>
      <c r="F932" s="101">
        <v>13268.78636</v>
      </c>
      <c r="G932" s="101">
        <v>13268.78636</v>
      </c>
      <c r="H932" s="101">
        <v>0</v>
      </c>
      <c r="I932" s="101">
        <v>0</v>
      </c>
      <c r="J932" s="101">
        <v>0</v>
      </c>
      <c r="K932" s="16" t="s">
        <v>120</v>
      </c>
    </row>
    <row r="933" spans="1:11" s="28" customFormat="1" ht="26.4" x14ac:dyDescent="0.3">
      <c r="A933" s="53">
        <v>859</v>
      </c>
      <c r="B933" s="243"/>
      <c r="C933" s="1" t="s">
        <v>1358</v>
      </c>
      <c r="D933" s="1" t="s">
        <v>1359</v>
      </c>
      <c r="E933" s="13" t="s">
        <v>19</v>
      </c>
      <c r="F933" s="101">
        <v>6390.5042899999999</v>
      </c>
      <c r="G933" s="101">
        <v>6390.5042899999999</v>
      </c>
      <c r="H933" s="101">
        <v>0</v>
      </c>
      <c r="I933" s="101">
        <v>0</v>
      </c>
      <c r="J933" s="101">
        <v>0</v>
      </c>
      <c r="K933" s="16" t="s">
        <v>120</v>
      </c>
    </row>
    <row r="934" spans="1:11" s="28" customFormat="1" ht="26.4" x14ac:dyDescent="0.3">
      <c r="A934" s="53">
        <v>860</v>
      </c>
      <c r="B934" s="243"/>
      <c r="C934" s="1" t="s">
        <v>1360</v>
      </c>
      <c r="D934" s="1" t="s">
        <v>1361</v>
      </c>
      <c r="E934" s="13" t="s">
        <v>19</v>
      </c>
      <c r="F934" s="101">
        <v>1931.1435800000002</v>
      </c>
      <c r="G934" s="101">
        <v>1931.1435800000002</v>
      </c>
      <c r="H934" s="101">
        <v>0</v>
      </c>
      <c r="I934" s="101">
        <v>0</v>
      </c>
      <c r="J934" s="101">
        <v>0</v>
      </c>
      <c r="K934" s="16" t="s">
        <v>166</v>
      </c>
    </row>
    <row r="935" spans="1:11" s="28" customFormat="1" ht="26.4" x14ac:dyDescent="0.3">
      <c r="A935" s="53">
        <v>861</v>
      </c>
      <c r="B935" s="243"/>
      <c r="C935" s="1" t="s">
        <v>1362</v>
      </c>
      <c r="D935" s="1" t="s">
        <v>1363</v>
      </c>
      <c r="E935" s="13" t="s">
        <v>19</v>
      </c>
      <c r="F935" s="101">
        <v>5283.0461399999995</v>
      </c>
      <c r="G935" s="101">
        <v>5283.0461399999995</v>
      </c>
      <c r="H935" s="101">
        <v>0</v>
      </c>
      <c r="I935" s="101">
        <v>0</v>
      </c>
      <c r="J935" s="101">
        <v>0</v>
      </c>
      <c r="K935" s="16" t="s">
        <v>1314</v>
      </c>
    </row>
    <row r="936" spans="1:11" s="28" customFormat="1" ht="26.4" x14ac:dyDescent="0.3">
      <c r="A936" s="53">
        <v>862</v>
      </c>
      <c r="B936" s="243"/>
      <c r="C936" s="1" t="s">
        <v>1364</v>
      </c>
      <c r="D936" s="1" t="s">
        <v>1365</v>
      </c>
      <c r="E936" s="13" t="s">
        <v>19</v>
      </c>
      <c r="F936" s="101">
        <v>3868.8952799999997</v>
      </c>
      <c r="G936" s="101">
        <v>3868.8952799999997</v>
      </c>
      <c r="H936" s="101">
        <v>0</v>
      </c>
      <c r="I936" s="101">
        <v>0</v>
      </c>
      <c r="J936" s="101">
        <v>0</v>
      </c>
      <c r="K936" s="16" t="s">
        <v>166</v>
      </c>
    </row>
    <row r="937" spans="1:11" s="28" customFormat="1" ht="26.4" x14ac:dyDescent="0.3">
      <c r="A937" s="53">
        <v>863</v>
      </c>
      <c r="B937" s="243"/>
      <c r="C937" s="1" t="s">
        <v>1366</v>
      </c>
      <c r="D937" s="1" t="s">
        <v>1367</v>
      </c>
      <c r="E937" s="13" t="s">
        <v>19</v>
      </c>
      <c r="F937" s="101">
        <v>15794.821400000001</v>
      </c>
      <c r="G937" s="101">
        <v>15794.821400000001</v>
      </c>
      <c r="H937" s="101">
        <v>0</v>
      </c>
      <c r="I937" s="101">
        <v>0</v>
      </c>
      <c r="J937" s="101">
        <v>0</v>
      </c>
      <c r="K937" s="16" t="s">
        <v>120</v>
      </c>
    </row>
    <row r="938" spans="1:11" s="28" customFormat="1" ht="26.4" x14ac:dyDescent="0.3">
      <c r="A938" s="53">
        <v>864</v>
      </c>
      <c r="B938" s="243"/>
      <c r="C938" s="1" t="s">
        <v>1368</v>
      </c>
      <c r="D938" s="1" t="s">
        <v>1369</v>
      </c>
      <c r="E938" s="13" t="s">
        <v>19</v>
      </c>
      <c r="F938" s="101">
        <v>4700.1747999999998</v>
      </c>
      <c r="G938" s="101">
        <v>4700.1747999999998</v>
      </c>
      <c r="H938" s="101">
        <v>0</v>
      </c>
      <c r="I938" s="101">
        <v>0</v>
      </c>
      <c r="J938" s="101">
        <v>0</v>
      </c>
      <c r="K938" s="16" t="s">
        <v>120</v>
      </c>
    </row>
    <row r="939" spans="1:11" s="28" customFormat="1" ht="26.4" x14ac:dyDescent="0.3">
      <c r="A939" s="53">
        <v>865</v>
      </c>
      <c r="B939" s="243"/>
      <c r="C939" s="1" t="s">
        <v>1370</v>
      </c>
      <c r="D939" s="1" t="s">
        <v>1371</v>
      </c>
      <c r="E939" s="13" t="s">
        <v>19</v>
      </c>
      <c r="F939" s="101">
        <v>3691.1373199999998</v>
      </c>
      <c r="G939" s="101">
        <v>3691.1373199999998</v>
      </c>
      <c r="H939" s="101">
        <v>0</v>
      </c>
      <c r="I939" s="101">
        <v>0</v>
      </c>
      <c r="J939" s="101">
        <v>0</v>
      </c>
      <c r="K939" s="16" t="s">
        <v>120</v>
      </c>
    </row>
    <row r="940" spans="1:11" s="28" customFormat="1" ht="26.4" x14ac:dyDescent="0.3">
      <c r="A940" s="53">
        <v>866</v>
      </c>
      <c r="B940" s="243"/>
      <c r="C940" s="1" t="s">
        <v>1372</v>
      </c>
      <c r="D940" s="1" t="s">
        <v>1373</v>
      </c>
      <c r="E940" s="13" t="s">
        <v>19</v>
      </c>
      <c r="F940" s="101">
        <v>7685.0315000000001</v>
      </c>
      <c r="G940" s="101">
        <v>7685.0315000000001</v>
      </c>
      <c r="H940" s="101">
        <v>0</v>
      </c>
      <c r="I940" s="101">
        <v>0</v>
      </c>
      <c r="J940" s="101">
        <v>0</v>
      </c>
      <c r="K940" s="16" t="s">
        <v>120</v>
      </c>
    </row>
    <row r="941" spans="1:11" s="28" customFormat="1" ht="26.4" x14ac:dyDescent="0.3">
      <c r="A941" s="53">
        <v>867</v>
      </c>
      <c r="B941" s="243"/>
      <c r="C941" s="1" t="s">
        <v>1374</v>
      </c>
      <c r="D941" s="1" t="s">
        <v>1375</v>
      </c>
      <c r="E941" s="13" t="s">
        <v>19</v>
      </c>
      <c r="F941" s="101">
        <v>2364.6320900000001</v>
      </c>
      <c r="G941" s="101">
        <v>2364.6320900000001</v>
      </c>
      <c r="H941" s="101">
        <v>0</v>
      </c>
      <c r="I941" s="101">
        <v>0</v>
      </c>
      <c r="J941" s="101">
        <v>0</v>
      </c>
      <c r="K941" s="16" t="s">
        <v>120</v>
      </c>
    </row>
    <row r="942" spans="1:11" s="28" customFormat="1" ht="26.4" x14ac:dyDescent="0.3">
      <c r="A942" s="53">
        <v>868</v>
      </c>
      <c r="B942" s="243"/>
      <c r="C942" s="1" t="s">
        <v>1376</v>
      </c>
      <c r="D942" s="1" t="s">
        <v>1377</v>
      </c>
      <c r="E942" s="13" t="s">
        <v>19</v>
      </c>
      <c r="F942" s="101">
        <v>9972.7463800000005</v>
      </c>
      <c r="G942" s="101">
        <v>9972.7463800000005</v>
      </c>
      <c r="H942" s="101">
        <v>0</v>
      </c>
      <c r="I942" s="101">
        <v>0</v>
      </c>
      <c r="J942" s="101">
        <v>0</v>
      </c>
      <c r="K942" s="16" t="s">
        <v>166</v>
      </c>
    </row>
    <row r="943" spans="1:11" s="28" customFormat="1" ht="26.4" x14ac:dyDescent="0.3">
      <c r="A943" s="53">
        <v>869</v>
      </c>
      <c r="B943" s="243"/>
      <c r="C943" s="1" t="s">
        <v>1378</v>
      </c>
      <c r="D943" s="1" t="s">
        <v>1379</v>
      </c>
      <c r="E943" s="13" t="s">
        <v>19</v>
      </c>
      <c r="F943" s="101">
        <v>7018.8803099999996</v>
      </c>
      <c r="G943" s="101">
        <v>7018.8803099999996</v>
      </c>
      <c r="H943" s="101">
        <v>0</v>
      </c>
      <c r="I943" s="101">
        <v>0</v>
      </c>
      <c r="J943" s="101">
        <v>0</v>
      </c>
      <c r="K943" s="16" t="s">
        <v>120</v>
      </c>
    </row>
    <row r="944" spans="1:11" s="28" customFormat="1" ht="26.4" x14ac:dyDescent="0.3">
      <c r="A944" s="53">
        <v>870</v>
      </c>
      <c r="B944" s="243"/>
      <c r="C944" s="1" t="s">
        <v>1380</v>
      </c>
      <c r="D944" s="1" t="s">
        <v>1511</v>
      </c>
      <c r="E944" s="13" t="s">
        <v>19</v>
      </c>
      <c r="F944" s="101">
        <v>31903.393949999998</v>
      </c>
      <c r="G944" s="101">
        <v>31903.393949999998</v>
      </c>
      <c r="H944" s="101">
        <v>0</v>
      </c>
      <c r="I944" s="101">
        <v>0</v>
      </c>
      <c r="J944" s="101">
        <v>0</v>
      </c>
      <c r="K944" s="16" t="s">
        <v>120</v>
      </c>
    </row>
    <row r="945" spans="1:11" s="28" customFormat="1" ht="26.4" x14ac:dyDescent="0.3">
      <c r="A945" s="53">
        <v>871</v>
      </c>
      <c r="B945" s="243"/>
      <c r="C945" s="1" t="s">
        <v>1381</v>
      </c>
      <c r="D945" s="1" t="s">
        <v>1512</v>
      </c>
      <c r="E945" s="13" t="s">
        <v>19</v>
      </c>
      <c r="F945" s="101">
        <v>26046.785399999997</v>
      </c>
      <c r="G945" s="101">
        <v>26046.785399999997</v>
      </c>
      <c r="H945" s="101">
        <v>0</v>
      </c>
      <c r="I945" s="101">
        <v>0</v>
      </c>
      <c r="J945" s="101">
        <v>0</v>
      </c>
      <c r="K945" s="16" t="s">
        <v>120</v>
      </c>
    </row>
    <row r="946" spans="1:11" s="28" customFormat="1" ht="26.4" x14ac:dyDescent="0.3">
      <c r="A946" s="53">
        <v>872</v>
      </c>
      <c r="B946" s="243"/>
      <c r="C946" s="1" t="s">
        <v>1382</v>
      </c>
      <c r="D946" s="1" t="s">
        <v>1383</v>
      </c>
      <c r="E946" s="13" t="s">
        <v>19</v>
      </c>
      <c r="F946" s="101">
        <v>4794.1982800000005</v>
      </c>
      <c r="G946" s="101">
        <v>4794.1982800000005</v>
      </c>
      <c r="H946" s="101">
        <v>0</v>
      </c>
      <c r="I946" s="101">
        <v>0</v>
      </c>
      <c r="J946" s="101">
        <v>0</v>
      </c>
      <c r="K946" s="16" t="s">
        <v>120</v>
      </c>
    </row>
    <row r="947" spans="1:11" s="28" customFormat="1" ht="26.4" x14ac:dyDescent="0.3">
      <c r="A947" s="53">
        <v>873</v>
      </c>
      <c r="B947" s="243"/>
      <c r="C947" s="1" t="s">
        <v>1384</v>
      </c>
      <c r="D947" s="1" t="s">
        <v>1385</v>
      </c>
      <c r="E947" s="13" t="s">
        <v>19</v>
      </c>
      <c r="F947" s="101">
        <v>2605.4052700000002</v>
      </c>
      <c r="G947" s="101">
        <v>2605.4052700000002</v>
      </c>
      <c r="H947" s="101">
        <v>0</v>
      </c>
      <c r="I947" s="101">
        <v>0</v>
      </c>
      <c r="J947" s="101">
        <v>0</v>
      </c>
      <c r="K947" s="16" t="s">
        <v>120</v>
      </c>
    </row>
    <row r="948" spans="1:11" s="28" customFormat="1" ht="26.4" x14ac:dyDescent="0.3">
      <c r="A948" s="53">
        <v>874</v>
      </c>
      <c r="B948" s="243"/>
      <c r="C948" s="1" t="s">
        <v>1386</v>
      </c>
      <c r="D948" s="1" t="s">
        <v>1387</v>
      </c>
      <c r="E948" s="13" t="s">
        <v>19</v>
      </c>
      <c r="F948" s="101">
        <v>2750.9632299999998</v>
      </c>
      <c r="G948" s="101">
        <v>2750.9632299999998</v>
      </c>
      <c r="H948" s="101">
        <v>0</v>
      </c>
      <c r="I948" s="101">
        <v>0</v>
      </c>
      <c r="J948" s="101">
        <v>0</v>
      </c>
      <c r="K948" s="16" t="s">
        <v>120</v>
      </c>
    </row>
    <row r="949" spans="1:11" s="28" customFormat="1" ht="26.4" x14ac:dyDescent="0.3">
      <c r="A949" s="53">
        <v>875</v>
      </c>
      <c r="B949" s="243"/>
      <c r="C949" s="1" t="s">
        <v>1388</v>
      </c>
      <c r="D949" s="1" t="s">
        <v>1513</v>
      </c>
      <c r="E949" s="13" t="s">
        <v>19</v>
      </c>
      <c r="F949" s="101">
        <v>20501.329739999997</v>
      </c>
      <c r="G949" s="101">
        <v>20501.329739999997</v>
      </c>
      <c r="H949" s="101">
        <v>0</v>
      </c>
      <c r="I949" s="101">
        <v>0</v>
      </c>
      <c r="J949" s="101">
        <v>0</v>
      </c>
      <c r="K949" s="16" t="s">
        <v>120</v>
      </c>
    </row>
    <row r="950" spans="1:11" s="28" customFormat="1" ht="26.4" x14ac:dyDescent="0.3">
      <c r="A950" s="53">
        <v>876</v>
      </c>
      <c r="B950" s="243"/>
      <c r="C950" s="1" t="s">
        <v>1389</v>
      </c>
      <c r="D950" s="1" t="s">
        <v>1390</v>
      </c>
      <c r="E950" s="13" t="s">
        <v>19</v>
      </c>
      <c r="F950" s="101">
        <v>335.61610999999999</v>
      </c>
      <c r="G950" s="101">
        <v>335.61610999999999</v>
      </c>
      <c r="H950" s="101">
        <v>0</v>
      </c>
      <c r="I950" s="101">
        <v>0</v>
      </c>
      <c r="J950" s="101">
        <v>0</v>
      </c>
      <c r="K950" s="16" t="s">
        <v>166</v>
      </c>
    </row>
    <row r="951" spans="1:11" s="28" customFormat="1" ht="26.4" x14ac:dyDescent="0.3">
      <c r="A951" s="53">
        <v>877</v>
      </c>
      <c r="B951" s="243"/>
      <c r="C951" s="1" t="s">
        <v>1391</v>
      </c>
      <c r="D951" s="1" t="s">
        <v>1392</v>
      </c>
      <c r="E951" s="13" t="s">
        <v>19</v>
      </c>
      <c r="F951" s="101">
        <v>5189.9630800000004</v>
      </c>
      <c r="G951" s="101">
        <v>5189.9630800000004</v>
      </c>
      <c r="H951" s="101">
        <v>0</v>
      </c>
      <c r="I951" s="101">
        <v>0</v>
      </c>
      <c r="J951" s="101">
        <v>0</v>
      </c>
      <c r="K951" s="16" t="s">
        <v>120</v>
      </c>
    </row>
    <row r="952" spans="1:11" s="28" customFormat="1" ht="26.4" x14ac:dyDescent="0.3">
      <c r="A952" s="53">
        <v>878</v>
      </c>
      <c r="B952" s="243"/>
      <c r="C952" s="1" t="s">
        <v>1393</v>
      </c>
      <c r="D952" s="1" t="s">
        <v>1394</v>
      </c>
      <c r="E952" s="13" t="s">
        <v>19</v>
      </c>
      <c r="F952" s="101">
        <v>6705.6152899999997</v>
      </c>
      <c r="G952" s="101">
        <v>6705.6152899999997</v>
      </c>
      <c r="H952" s="101">
        <v>0</v>
      </c>
      <c r="I952" s="101">
        <v>0</v>
      </c>
      <c r="J952" s="101">
        <v>0</v>
      </c>
      <c r="K952" s="16" t="s">
        <v>120</v>
      </c>
    </row>
    <row r="953" spans="1:11" s="28" customFormat="1" ht="26.4" x14ac:dyDescent="0.3">
      <c r="A953" s="53">
        <v>879</v>
      </c>
      <c r="B953" s="243"/>
      <c r="C953" s="1" t="s">
        <v>1395</v>
      </c>
      <c r="D953" s="1" t="s">
        <v>1396</v>
      </c>
      <c r="E953" s="13" t="s">
        <v>19</v>
      </c>
      <c r="F953" s="101">
        <v>686.90446999999995</v>
      </c>
      <c r="G953" s="101">
        <v>686.90446999999995</v>
      </c>
      <c r="H953" s="101">
        <v>0</v>
      </c>
      <c r="I953" s="101">
        <v>0</v>
      </c>
      <c r="J953" s="101">
        <v>0</v>
      </c>
      <c r="K953" s="16" t="s">
        <v>120</v>
      </c>
    </row>
    <row r="954" spans="1:11" s="28" customFormat="1" ht="26.4" x14ac:dyDescent="0.3">
      <c r="A954" s="53">
        <v>880</v>
      </c>
      <c r="B954" s="243"/>
      <c r="C954" s="1" t="s">
        <v>1397</v>
      </c>
      <c r="D954" s="1" t="s">
        <v>1398</v>
      </c>
      <c r="E954" s="13" t="s">
        <v>19</v>
      </c>
      <c r="F954" s="101">
        <v>12946.301810000001</v>
      </c>
      <c r="G954" s="101">
        <v>12946.301810000001</v>
      </c>
      <c r="H954" s="101">
        <v>0</v>
      </c>
      <c r="I954" s="101">
        <v>0</v>
      </c>
      <c r="J954" s="101">
        <v>0</v>
      </c>
      <c r="K954" s="16" t="s">
        <v>166</v>
      </c>
    </row>
    <row r="955" spans="1:11" s="28" customFormat="1" ht="26.4" x14ac:dyDescent="0.3">
      <c r="A955" s="53">
        <v>881</v>
      </c>
      <c r="B955" s="243"/>
      <c r="C955" s="1" t="s">
        <v>1399</v>
      </c>
      <c r="D955" s="1" t="s">
        <v>1400</v>
      </c>
      <c r="E955" s="13" t="s">
        <v>19</v>
      </c>
      <c r="F955" s="101">
        <v>5936.7520599999998</v>
      </c>
      <c r="G955" s="101">
        <v>5936.7520599999998</v>
      </c>
      <c r="H955" s="101">
        <v>0</v>
      </c>
      <c r="I955" s="101">
        <v>0</v>
      </c>
      <c r="J955" s="101">
        <v>0</v>
      </c>
      <c r="K955" s="16" t="s">
        <v>120</v>
      </c>
    </row>
    <row r="956" spans="1:11" s="28" customFormat="1" ht="26.4" x14ac:dyDescent="0.3">
      <c r="A956" s="53">
        <v>882</v>
      </c>
      <c r="B956" s="243"/>
      <c r="C956" s="1" t="s">
        <v>1401</v>
      </c>
      <c r="D956" s="1" t="s">
        <v>1402</v>
      </c>
      <c r="E956" s="13" t="s">
        <v>19</v>
      </c>
      <c r="F956" s="101">
        <v>5446.2335899999998</v>
      </c>
      <c r="G956" s="101">
        <v>5446.2335899999998</v>
      </c>
      <c r="H956" s="101">
        <v>0</v>
      </c>
      <c r="I956" s="101">
        <v>0</v>
      </c>
      <c r="J956" s="101">
        <v>0</v>
      </c>
      <c r="K956" s="16" t="s">
        <v>120</v>
      </c>
    </row>
    <row r="957" spans="1:11" s="28" customFormat="1" ht="39.6" x14ac:dyDescent="0.3">
      <c r="A957" s="53">
        <v>883</v>
      </c>
      <c r="B957" s="243"/>
      <c r="C957" s="1" t="s">
        <v>1403</v>
      </c>
      <c r="D957" s="1" t="s">
        <v>1404</v>
      </c>
      <c r="E957" s="13" t="s">
        <v>19</v>
      </c>
      <c r="F957" s="101">
        <v>310.64161000000001</v>
      </c>
      <c r="G957" s="101">
        <v>310.64161000000001</v>
      </c>
      <c r="H957" s="101">
        <v>0</v>
      </c>
      <c r="I957" s="101">
        <v>0</v>
      </c>
      <c r="J957" s="101">
        <v>0</v>
      </c>
      <c r="K957" s="16" t="s">
        <v>166</v>
      </c>
    </row>
    <row r="958" spans="1:11" s="28" customFormat="1" ht="26.4" x14ac:dyDescent="0.3">
      <c r="A958" s="53">
        <v>884</v>
      </c>
      <c r="B958" s="243"/>
      <c r="C958" s="1" t="s">
        <v>1405</v>
      </c>
      <c r="D958" s="1" t="s">
        <v>1406</v>
      </c>
      <c r="E958" s="13" t="s">
        <v>19</v>
      </c>
      <c r="F958" s="101">
        <v>436.24331999999998</v>
      </c>
      <c r="G958" s="101">
        <v>436.24331999999998</v>
      </c>
      <c r="H958" s="101">
        <v>0</v>
      </c>
      <c r="I958" s="101">
        <v>0</v>
      </c>
      <c r="J958" s="101">
        <v>0</v>
      </c>
      <c r="K958" s="16" t="s">
        <v>120</v>
      </c>
    </row>
    <row r="959" spans="1:11" s="28" customFormat="1" ht="26.4" x14ac:dyDescent="0.3">
      <c r="A959" s="53">
        <v>885</v>
      </c>
      <c r="B959" s="243"/>
      <c r="C959" s="1" t="s">
        <v>1407</v>
      </c>
      <c r="D959" s="1" t="s">
        <v>1408</v>
      </c>
      <c r="E959" s="13" t="s">
        <v>19</v>
      </c>
      <c r="F959" s="101">
        <v>98.743679999999998</v>
      </c>
      <c r="G959" s="101">
        <v>98.743679999999998</v>
      </c>
      <c r="H959" s="101">
        <v>0</v>
      </c>
      <c r="I959" s="101">
        <v>0</v>
      </c>
      <c r="J959" s="101">
        <v>0</v>
      </c>
      <c r="K959" s="16" t="s">
        <v>166</v>
      </c>
    </row>
    <row r="960" spans="1:11" s="28" customFormat="1" ht="26.4" x14ac:dyDescent="0.3">
      <c r="A960" s="53">
        <v>886</v>
      </c>
      <c r="B960" s="243"/>
      <c r="C960" s="1" t="s">
        <v>1409</v>
      </c>
      <c r="D960" s="1" t="s">
        <v>1410</v>
      </c>
      <c r="E960" s="13" t="s">
        <v>19</v>
      </c>
      <c r="F960" s="101">
        <v>14682.045269999999</v>
      </c>
      <c r="G960" s="101">
        <v>14682.045269999999</v>
      </c>
      <c r="H960" s="101">
        <v>0</v>
      </c>
      <c r="I960" s="101">
        <v>0</v>
      </c>
      <c r="J960" s="101">
        <v>0</v>
      </c>
      <c r="K960" s="16" t="s">
        <v>120</v>
      </c>
    </row>
    <row r="961" spans="1:12" s="28" customFormat="1" ht="26.4" x14ac:dyDescent="0.3">
      <c r="A961" s="53">
        <v>887</v>
      </c>
      <c r="B961" s="243"/>
      <c r="C961" s="1" t="s">
        <v>1411</v>
      </c>
      <c r="D961" s="1" t="s">
        <v>1412</v>
      </c>
      <c r="E961" s="13" t="s">
        <v>19</v>
      </c>
      <c r="F961" s="101">
        <v>5104.4035100000001</v>
      </c>
      <c r="G961" s="101">
        <v>5104.4035100000001</v>
      </c>
      <c r="H961" s="101">
        <v>0</v>
      </c>
      <c r="I961" s="101">
        <v>0</v>
      </c>
      <c r="J961" s="101">
        <v>0</v>
      </c>
      <c r="K961" s="16" t="s">
        <v>120</v>
      </c>
    </row>
    <row r="962" spans="1:12" s="28" customFormat="1" ht="39.6" x14ac:dyDescent="0.3">
      <c r="A962" s="53">
        <v>888</v>
      </c>
      <c r="B962" s="243"/>
      <c r="C962" s="1" t="s">
        <v>1413</v>
      </c>
      <c r="D962" s="1" t="s">
        <v>1414</v>
      </c>
      <c r="E962" s="13" t="s">
        <v>19</v>
      </c>
      <c r="F962" s="101">
        <v>731.24398999999994</v>
      </c>
      <c r="G962" s="101">
        <v>731.24398999999994</v>
      </c>
      <c r="H962" s="101">
        <v>0</v>
      </c>
      <c r="I962" s="101">
        <v>0</v>
      </c>
      <c r="J962" s="101">
        <v>0</v>
      </c>
      <c r="K962" s="16" t="s">
        <v>120</v>
      </c>
    </row>
    <row r="963" spans="1:12" s="28" customFormat="1" ht="26.4" x14ac:dyDescent="0.3">
      <c r="A963" s="53">
        <v>889</v>
      </c>
      <c r="B963" s="243"/>
      <c r="C963" s="1" t="s">
        <v>1415</v>
      </c>
      <c r="D963" s="1" t="s">
        <v>1416</v>
      </c>
      <c r="E963" s="13" t="s">
        <v>19</v>
      </c>
      <c r="F963" s="101">
        <v>3608.1131500000001</v>
      </c>
      <c r="G963" s="101">
        <v>3608.1131500000001</v>
      </c>
      <c r="H963" s="101">
        <v>0</v>
      </c>
      <c r="I963" s="101">
        <v>0</v>
      </c>
      <c r="J963" s="101">
        <v>0</v>
      </c>
      <c r="K963" s="16" t="s">
        <v>1314</v>
      </c>
    </row>
    <row r="964" spans="1:12" s="28" customFormat="1" ht="39.6" x14ac:dyDescent="0.3">
      <c r="A964" s="53">
        <v>890</v>
      </c>
      <c r="B964" s="243"/>
      <c r="C964" s="1" t="s">
        <v>1417</v>
      </c>
      <c r="D964" s="1" t="s">
        <v>1418</v>
      </c>
      <c r="E964" s="13" t="s">
        <v>19</v>
      </c>
      <c r="F964" s="101">
        <v>2170.88</v>
      </c>
      <c r="G964" s="101">
        <v>1797.76</v>
      </c>
      <c r="H964" s="101">
        <v>373.12</v>
      </c>
      <c r="I964" s="101">
        <v>0</v>
      </c>
      <c r="J964" s="101">
        <v>0</v>
      </c>
      <c r="K964" s="16" t="s">
        <v>1314</v>
      </c>
    </row>
    <row r="965" spans="1:12" s="28" customFormat="1" ht="58.8" customHeight="1" x14ac:dyDescent="0.3">
      <c r="A965" s="53">
        <v>891</v>
      </c>
      <c r="B965" s="243"/>
      <c r="C965" s="1" t="s">
        <v>1419</v>
      </c>
      <c r="D965" s="1" t="s">
        <v>1420</v>
      </c>
      <c r="E965" s="13" t="s">
        <v>19</v>
      </c>
      <c r="F965" s="101">
        <v>225.50882999999999</v>
      </c>
      <c r="G965" s="101">
        <v>194.70973999999998</v>
      </c>
      <c r="H965" s="101">
        <v>30.79909</v>
      </c>
      <c r="I965" s="101">
        <v>0</v>
      </c>
      <c r="J965" s="101">
        <v>0</v>
      </c>
      <c r="K965" s="16" t="s">
        <v>120</v>
      </c>
    </row>
    <row r="966" spans="1:12" s="50" customFormat="1" ht="26.4" x14ac:dyDescent="0.3">
      <c r="A966" s="53">
        <v>892</v>
      </c>
      <c r="B966" s="243"/>
      <c r="C966" s="23" t="s">
        <v>1421</v>
      </c>
      <c r="D966" s="16" t="s">
        <v>1422</v>
      </c>
      <c r="E966" s="13" t="s">
        <v>19</v>
      </c>
      <c r="F966" s="101">
        <v>4223.04</v>
      </c>
      <c r="G966" s="101">
        <v>0</v>
      </c>
      <c r="H966" s="101">
        <v>3832.96</v>
      </c>
      <c r="I966" s="101">
        <v>390.08</v>
      </c>
      <c r="J966" s="101">
        <v>0</v>
      </c>
      <c r="K966" s="16" t="s">
        <v>296</v>
      </c>
    </row>
    <row r="967" spans="1:12" s="50" customFormat="1" ht="26.4" x14ac:dyDescent="0.3">
      <c r="A967" s="53">
        <v>893</v>
      </c>
      <c r="B967" s="243"/>
      <c r="C967" s="23" t="s">
        <v>1423</v>
      </c>
      <c r="D967" s="16" t="s">
        <v>1424</v>
      </c>
      <c r="E967" s="13" t="s">
        <v>19</v>
      </c>
      <c r="F967" s="101">
        <v>2988</v>
      </c>
      <c r="G967" s="101">
        <v>0</v>
      </c>
      <c r="H967" s="101">
        <v>2712</v>
      </c>
      <c r="I967" s="101">
        <v>276</v>
      </c>
      <c r="J967" s="101">
        <v>0</v>
      </c>
      <c r="K967" s="16" t="s">
        <v>296</v>
      </c>
    </row>
    <row r="968" spans="1:12" s="50" customFormat="1" ht="39.6" x14ac:dyDescent="0.3">
      <c r="A968" s="53">
        <v>894</v>
      </c>
      <c r="B968" s="243"/>
      <c r="C968" s="23" t="s">
        <v>1425</v>
      </c>
      <c r="D968" s="16" t="s">
        <v>140</v>
      </c>
      <c r="E968" s="13" t="s">
        <v>19</v>
      </c>
      <c r="F968" s="101">
        <v>1832.64</v>
      </c>
      <c r="G968" s="101">
        <v>0</v>
      </c>
      <c r="H968" s="101">
        <v>1663.36</v>
      </c>
      <c r="I968" s="101">
        <v>169.28</v>
      </c>
      <c r="J968" s="101">
        <v>0</v>
      </c>
      <c r="K968" s="16" t="s">
        <v>296</v>
      </c>
    </row>
    <row r="969" spans="1:12" s="50" customFormat="1" ht="26.4" x14ac:dyDescent="0.3">
      <c r="A969" s="53">
        <v>895</v>
      </c>
      <c r="B969" s="243"/>
      <c r="C969" s="23" t="s">
        <v>1426</v>
      </c>
      <c r="D969" s="16" t="s">
        <v>256</v>
      </c>
      <c r="E969" s="13" t="s">
        <v>19</v>
      </c>
      <c r="F969" s="101">
        <v>756.94007999999997</v>
      </c>
      <c r="G969" s="101">
        <v>0</v>
      </c>
      <c r="H969" s="101">
        <v>687.02192000000002</v>
      </c>
      <c r="I969" s="101">
        <v>69.91816</v>
      </c>
      <c r="J969" s="101">
        <v>0</v>
      </c>
      <c r="K969" s="16" t="s">
        <v>296</v>
      </c>
    </row>
    <row r="970" spans="1:12" s="50" customFormat="1" ht="26.4" x14ac:dyDescent="0.3">
      <c r="A970" s="53">
        <v>896</v>
      </c>
      <c r="B970" s="244"/>
      <c r="C970" s="23" t="s">
        <v>1427</v>
      </c>
      <c r="D970" s="16" t="s">
        <v>1428</v>
      </c>
      <c r="E970" s="13" t="s">
        <v>19</v>
      </c>
      <c r="F970" s="101">
        <v>1702.5060000000001</v>
      </c>
      <c r="G970" s="101">
        <v>0</v>
      </c>
      <c r="H970" s="101">
        <v>1702.5060000000001</v>
      </c>
      <c r="I970" s="101">
        <v>0</v>
      </c>
      <c r="J970" s="101">
        <v>0</v>
      </c>
      <c r="K970" s="16" t="s">
        <v>121</v>
      </c>
    </row>
    <row r="971" spans="1:12" s="51" customFormat="1" ht="30" customHeight="1" x14ac:dyDescent="0.3">
      <c r="A971" s="250" t="s">
        <v>1504</v>
      </c>
      <c r="B971" s="251"/>
      <c r="C971" s="251"/>
      <c r="D971" s="34"/>
      <c r="E971" s="24"/>
      <c r="F971" s="202">
        <f>SUM(F901:F970)</f>
        <v>492404.07339999994</v>
      </c>
      <c r="G971" s="202">
        <f t="shared" ref="G971:I971" si="75">SUM(G901:G970)</f>
        <v>480497.02823</v>
      </c>
      <c r="H971" s="202">
        <f t="shared" si="75"/>
        <v>11001.76701</v>
      </c>
      <c r="I971" s="202">
        <f t="shared" si="75"/>
        <v>905.27815999999984</v>
      </c>
      <c r="J971" s="202">
        <f>SUM(J901:J970)</f>
        <v>0</v>
      </c>
      <c r="K971" s="25"/>
      <c r="L971" s="74"/>
    </row>
    <row r="972" spans="1:12" s="50" customFormat="1" ht="26.4" x14ac:dyDescent="0.3">
      <c r="A972" s="13">
        <v>897</v>
      </c>
      <c r="B972" s="242" t="s">
        <v>1297</v>
      </c>
      <c r="C972" s="23" t="s">
        <v>1429</v>
      </c>
      <c r="D972" s="16" t="s">
        <v>1430</v>
      </c>
      <c r="E972" s="13" t="s">
        <v>19</v>
      </c>
      <c r="F972" s="101">
        <v>11596.71092</v>
      </c>
      <c r="G972" s="101">
        <v>0</v>
      </c>
      <c r="H972" s="101">
        <v>11596.71092</v>
      </c>
      <c r="I972" s="107">
        <v>0</v>
      </c>
      <c r="J972" s="107">
        <v>0</v>
      </c>
      <c r="K972" s="16" t="s">
        <v>125</v>
      </c>
    </row>
    <row r="973" spans="1:12" s="50" customFormat="1" ht="26.4" x14ac:dyDescent="0.3">
      <c r="A973" s="13">
        <v>898</v>
      </c>
      <c r="B973" s="243"/>
      <c r="C973" s="23" t="s">
        <v>1431</v>
      </c>
      <c r="D973" s="16" t="s">
        <v>1432</v>
      </c>
      <c r="E973" s="13" t="s">
        <v>19</v>
      </c>
      <c r="F973" s="101">
        <v>13538.35102</v>
      </c>
      <c r="G973" s="101">
        <v>0</v>
      </c>
      <c r="H973" s="101">
        <v>13538.35102</v>
      </c>
      <c r="I973" s="107">
        <v>0</v>
      </c>
      <c r="J973" s="107">
        <v>0</v>
      </c>
      <c r="K973" s="16" t="s">
        <v>125</v>
      </c>
    </row>
    <row r="974" spans="1:12" s="50" customFormat="1" ht="26.4" x14ac:dyDescent="0.3">
      <c r="A974" s="53">
        <v>899</v>
      </c>
      <c r="B974" s="243"/>
      <c r="C974" s="23" t="s">
        <v>1433</v>
      </c>
      <c r="D974" s="16" t="s">
        <v>1355</v>
      </c>
      <c r="E974" s="13" t="s">
        <v>19</v>
      </c>
      <c r="F974" s="101">
        <v>2871.9205099999999</v>
      </c>
      <c r="G974" s="101">
        <v>0</v>
      </c>
      <c r="H974" s="101">
        <v>2871.9205099999999</v>
      </c>
      <c r="I974" s="107">
        <v>0</v>
      </c>
      <c r="J974" s="107">
        <v>0</v>
      </c>
      <c r="K974" s="16" t="s">
        <v>125</v>
      </c>
    </row>
    <row r="975" spans="1:12" s="50" customFormat="1" ht="26.4" x14ac:dyDescent="0.3">
      <c r="A975" s="53">
        <v>900</v>
      </c>
      <c r="B975" s="243"/>
      <c r="C975" s="23" t="s">
        <v>1434</v>
      </c>
      <c r="D975" s="16" t="s">
        <v>1361</v>
      </c>
      <c r="E975" s="13" t="s">
        <v>19</v>
      </c>
      <c r="F975" s="101">
        <v>1770.71551</v>
      </c>
      <c r="G975" s="101">
        <v>0</v>
      </c>
      <c r="H975" s="101">
        <v>1770.71551</v>
      </c>
      <c r="I975" s="107">
        <v>0</v>
      </c>
      <c r="J975" s="107">
        <v>0</v>
      </c>
      <c r="K975" s="16" t="s">
        <v>125</v>
      </c>
    </row>
    <row r="976" spans="1:12" s="50" customFormat="1" ht="26.4" x14ac:dyDescent="0.3">
      <c r="A976" s="53">
        <v>901</v>
      </c>
      <c r="B976" s="243"/>
      <c r="C976" s="23" t="s">
        <v>1435</v>
      </c>
      <c r="D976" s="16" t="s">
        <v>1363</v>
      </c>
      <c r="E976" s="13" t="s">
        <v>19</v>
      </c>
      <c r="F976" s="101">
        <v>6025.1036799999993</v>
      </c>
      <c r="G976" s="101">
        <v>0</v>
      </c>
      <c r="H976" s="101">
        <v>6025.1036799999993</v>
      </c>
      <c r="I976" s="107">
        <v>0</v>
      </c>
      <c r="J976" s="107">
        <v>0</v>
      </c>
      <c r="K976" s="16" t="s">
        <v>125</v>
      </c>
    </row>
    <row r="977" spans="1:11" s="50" customFormat="1" ht="26.4" x14ac:dyDescent="0.3">
      <c r="A977" s="53">
        <v>902</v>
      </c>
      <c r="B977" s="243"/>
      <c r="C977" s="23" t="s">
        <v>1436</v>
      </c>
      <c r="D977" s="16" t="s">
        <v>1365</v>
      </c>
      <c r="E977" s="13" t="s">
        <v>19</v>
      </c>
      <c r="F977" s="101">
        <v>4025.0830299999998</v>
      </c>
      <c r="G977" s="101">
        <v>0</v>
      </c>
      <c r="H977" s="101">
        <v>4025.0830299999998</v>
      </c>
      <c r="I977" s="107">
        <v>0</v>
      </c>
      <c r="J977" s="107">
        <v>0</v>
      </c>
      <c r="K977" s="16" t="s">
        <v>125</v>
      </c>
    </row>
    <row r="978" spans="1:11" s="50" customFormat="1" ht="26.4" x14ac:dyDescent="0.3">
      <c r="A978" s="53">
        <v>903</v>
      </c>
      <c r="B978" s="243"/>
      <c r="C978" s="23" t="s">
        <v>1437</v>
      </c>
      <c r="D978" s="16" t="s">
        <v>1514</v>
      </c>
      <c r="E978" s="13" t="s">
        <v>19</v>
      </c>
      <c r="F978" s="101">
        <v>27436.874399999997</v>
      </c>
      <c r="G978" s="101">
        <v>0</v>
      </c>
      <c r="H978" s="101">
        <v>27436.874399999997</v>
      </c>
      <c r="I978" s="107">
        <v>0</v>
      </c>
      <c r="J978" s="107">
        <v>0</v>
      </c>
      <c r="K978" s="16" t="s">
        <v>125</v>
      </c>
    </row>
    <row r="979" spans="1:11" s="50" customFormat="1" ht="26.4" x14ac:dyDescent="0.3">
      <c r="A979" s="53">
        <v>904</v>
      </c>
      <c r="B979" s="243"/>
      <c r="C979" s="23" t="s">
        <v>1438</v>
      </c>
      <c r="D979" s="16" t="s">
        <v>1492</v>
      </c>
      <c r="E979" s="13" t="s">
        <v>19</v>
      </c>
      <c r="F979" s="101">
        <v>88638.463900000002</v>
      </c>
      <c r="G979" s="101">
        <v>0</v>
      </c>
      <c r="H979" s="101">
        <v>88638.463900000002</v>
      </c>
      <c r="I979" s="107">
        <v>0</v>
      </c>
      <c r="J979" s="107">
        <v>0</v>
      </c>
      <c r="K979" s="16" t="s">
        <v>125</v>
      </c>
    </row>
    <row r="980" spans="1:11" s="50" customFormat="1" ht="39.6" x14ac:dyDescent="0.3">
      <c r="A980" s="53">
        <v>905</v>
      </c>
      <c r="B980" s="243"/>
      <c r="C980" s="23" t="s">
        <v>1439</v>
      </c>
      <c r="D980" s="16" t="s">
        <v>1440</v>
      </c>
      <c r="E980" s="13" t="s">
        <v>19</v>
      </c>
      <c r="F980" s="101">
        <v>5547.5379699999994</v>
      </c>
      <c r="G980" s="101">
        <v>0</v>
      </c>
      <c r="H980" s="101">
        <v>5547.5379699999994</v>
      </c>
      <c r="I980" s="107">
        <v>0</v>
      </c>
      <c r="J980" s="107">
        <v>0</v>
      </c>
      <c r="K980" s="16" t="s">
        <v>125</v>
      </c>
    </row>
    <row r="981" spans="1:11" s="50" customFormat="1" ht="57.6" customHeight="1" x14ac:dyDescent="0.3">
      <c r="A981" s="53">
        <v>906</v>
      </c>
      <c r="B981" s="243"/>
      <c r="C981" s="23" t="s">
        <v>1441</v>
      </c>
      <c r="D981" s="16" t="s">
        <v>1442</v>
      </c>
      <c r="E981" s="13" t="s">
        <v>19</v>
      </c>
      <c r="F981" s="101">
        <v>2458.2013700000002</v>
      </c>
      <c r="G981" s="101">
        <v>0</v>
      </c>
      <c r="H981" s="101">
        <v>2458.2013700000002</v>
      </c>
      <c r="I981" s="107">
        <v>0</v>
      </c>
      <c r="J981" s="107">
        <v>0</v>
      </c>
      <c r="K981" s="16" t="s">
        <v>125</v>
      </c>
    </row>
    <row r="982" spans="1:11" s="50" customFormat="1" ht="39.6" x14ac:dyDescent="0.3">
      <c r="A982" s="53">
        <v>907</v>
      </c>
      <c r="B982" s="243"/>
      <c r="C982" s="23" t="s">
        <v>1443</v>
      </c>
      <c r="D982" s="16" t="s">
        <v>1444</v>
      </c>
      <c r="E982" s="13" t="s">
        <v>19</v>
      </c>
      <c r="F982" s="101">
        <v>847.74487999999997</v>
      </c>
      <c r="G982" s="101">
        <v>0</v>
      </c>
      <c r="H982" s="101">
        <v>847.74487999999997</v>
      </c>
      <c r="I982" s="107">
        <v>0</v>
      </c>
      <c r="J982" s="107">
        <v>0</v>
      </c>
      <c r="K982" s="16" t="s">
        <v>125</v>
      </c>
    </row>
    <row r="983" spans="1:11" s="50" customFormat="1" ht="26.4" x14ac:dyDescent="0.3">
      <c r="A983" s="53">
        <v>908</v>
      </c>
      <c r="B983" s="243"/>
      <c r="C983" s="23" t="s">
        <v>1445</v>
      </c>
      <c r="D983" s="16" t="s">
        <v>1446</v>
      </c>
      <c r="E983" s="13" t="s">
        <v>19</v>
      </c>
      <c r="F983" s="101">
        <v>1976.80098</v>
      </c>
      <c r="G983" s="101">
        <v>0</v>
      </c>
      <c r="H983" s="101">
        <v>1976.80098</v>
      </c>
      <c r="I983" s="107">
        <v>0</v>
      </c>
      <c r="J983" s="107">
        <v>0</v>
      </c>
      <c r="K983" s="16" t="s">
        <v>333</v>
      </c>
    </row>
    <row r="984" spans="1:11" s="50" customFormat="1" ht="26.4" x14ac:dyDescent="0.3">
      <c r="A984" s="53">
        <v>909</v>
      </c>
      <c r="B984" s="243"/>
      <c r="C984" s="23" t="s">
        <v>1447</v>
      </c>
      <c r="D984" s="16" t="s">
        <v>1448</v>
      </c>
      <c r="E984" s="13" t="s">
        <v>19</v>
      </c>
      <c r="F984" s="101">
        <v>17437.171300000002</v>
      </c>
      <c r="G984" s="101">
        <v>0</v>
      </c>
      <c r="H984" s="101">
        <v>17437.171300000002</v>
      </c>
      <c r="I984" s="107">
        <v>0</v>
      </c>
      <c r="J984" s="107">
        <v>0</v>
      </c>
      <c r="K984" s="16" t="s">
        <v>125</v>
      </c>
    </row>
    <row r="985" spans="1:11" s="50" customFormat="1" ht="39.6" x14ac:dyDescent="0.3">
      <c r="A985" s="53">
        <v>910</v>
      </c>
      <c r="B985" s="243"/>
      <c r="C985" s="23" t="s">
        <v>1449</v>
      </c>
      <c r="D985" s="16" t="s">
        <v>1450</v>
      </c>
      <c r="E985" s="13" t="s">
        <v>19</v>
      </c>
      <c r="F985" s="101">
        <v>1510.43001</v>
      </c>
      <c r="G985" s="101">
        <v>0</v>
      </c>
      <c r="H985" s="101">
        <v>1510.43001</v>
      </c>
      <c r="I985" s="107">
        <v>0</v>
      </c>
      <c r="J985" s="107">
        <v>0</v>
      </c>
      <c r="K985" s="16" t="s">
        <v>125</v>
      </c>
    </row>
    <row r="986" spans="1:11" s="50" customFormat="1" ht="26.4" x14ac:dyDescent="0.3">
      <c r="A986" s="53">
        <v>911</v>
      </c>
      <c r="B986" s="243"/>
      <c r="C986" s="23" t="s">
        <v>1451</v>
      </c>
      <c r="D986" s="16" t="s">
        <v>1452</v>
      </c>
      <c r="E986" s="13" t="s">
        <v>19</v>
      </c>
      <c r="F986" s="101">
        <v>2515.1059700000001</v>
      </c>
      <c r="G986" s="101">
        <v>0</v>
      </c>
      <c r="H986" s="101">
        <v>2515.1059700000001</v>
      </c>
      <c r="I986" s="107">
        <v>0</v>
      </c>
      <c r="J986" s="107">
        <v>0</v>
      </c>
      <c r="K986" s="16" t="s">
        <v>125</v>
      </c>
    </row>
    <row r="987" spans="1:11" s="50" customFormat="1" ht="39.6" x14ac:dyDescent="0.3">
      <c r="A987" s="53">
        <v>912</v>
      </c>
      <c r="B987" s="243"/>
      <c r="C987" s="23" t="s">
        <v>1453</v>
      </c>
      <c r="D987" s="16" t="s">
        <v>1454</v>
      </c>
      <c r="E987" s="13" t="s">
        <v>19</v>
      </c>
      <c r="F987" s="101">
        <v>17588.258969999999</v>
      </c>
      <c r="G987" s="101">
        <v>0</v>
      </c>
      <c r="H987" s="101">
        <v>17588.258969999999</v>
      </c>
      <c r="I987" s="107">
        <v>0</v>
      </c>
      <c r="J987" s="107">
        <v>0</v>
      </c>
      <c r="K987" s="16" t="s">
        <v>125</v>
      </c>
    </row>
    <row r="988" spans="1:11" s="50" customFormat="1" ht="26.4" x14ac:dyDescent="0.3">
      <c r="A988" s="53">
        <v>913</v>
      </c>
      <c r="B988" s="243"/>
      <c r="C988" s="23" t="s">
        <v>1455</v>
      </c>
      <c r="D988" s="16" t="s">
        <v>1412</v>
      </c>
      <c r="E988" s="13" t="s">
        <v>19</v>
      </c>
      <c r="F988" s="101">
        <v>2594.0475899999997</v>
      </c>
      <c r="G988" s="101">
        <v>0</v>
      </c>
      <c r="H988" s="101">
        <v>2594.0475899999997</v>
      </c>
      <c r="I988" s="107">
        <v>0</v>
      </c>
      <c r="J988" s="107">
        <v>0</v>
      </c>
      <c r="K988" s="16" t="s">
        <v>125</v>
      </c>
    </row>
    <row r="989" spans="1:11" s="50" customFormat="1" ht="39.6" x14ac:dyDescent="0.3">
      <c r="A989" s="53">
        <v>914</v>
      </c>
      <c r="B989" s="243"/>
      <c r="C989" s="23" t="s">
        <v>1456</v>
      </c>
      <c r="D989" s="16" t="s">
        <v>1457</v>
      </c>
      <c r="E989" s="13" t="s">
        <v>19</v>
      </c>
      <c r="F989" s="101">
        <v>8161.2600599999996</v>
      </c>
      <c r="G989" s="101">
        <v>0</v>
      </c>
      <c r="H989" s="101">
        <v>8161.2600599999996</v>
      </c>
      <c r="I989" s="107">
        <v>0</v>
      </c>
      <c r="J989" s="107">
        <v>0</v>
      </c>
      <c r="K989" s="16" t="s">
        <v>125</v>
      </c>
    </row>
    <row r="990" spans="1:11" s="50" customFormat="1" ht="52.8" x14ac:dyDescent="0.3">
      <c r="A990" s="53">
        <v>915</v>
      </c>
      <c r="B990" s="243"/>
      <c r="C990" s="23" t="s">
        <v>1458</v>
      </c>
      <c r="D990" s="16" t="s">
        <v>1459</v>
      </c>
      <c r="E990" s="13" t="s">
        <v>19</v>
      </c>
      <c r="F990" s="101">
        <v>1683.84898</v>
      </c>
      <c r="G990" s="101">
        <v>0</v>
      </c>
      <c r="H990" s="101">
        <v>1683.84898</v>
      </c>
      <c r="I990" s="107">
        <v>0</v>
      </c>
      <c r="J990" s="107">
        <v>0</v>
      </c>
      <c r="K990" s="16" t="s">
        <v>125</v>
      </c>
    </row>
    <row r="991" spans="1:11" s="50" customFormat="1" ht="26.4" x14ac:dyDescent="0.3">
      <c r="A991" s="53">
        <v>916</v>
      </c>
      <c r="B991" s="243"/>
      <c r="C991" s="23" t="s">
        <v>1460</v>
      </c>
      <c r="D991" s="16" t="s">
        <v>1461</v>
      </c>
      <c r="E991" s="13" t="s">
        <v>19</v>
      </c>
      <c r="F991" s="101">
        <v>607.43236000000002</v>
      </c>
      <c r="G991" s="101">
        <v>0</v>
      </c>
      <c r="H991" s="101">
        <v>607.43236000000002</v>
      </c>
      <c r="I991" s="107">
        <v>0</v>
      </c>
      <c r="J991" s="107">
        <v>0</v>
      </c>
      <c r="K991" s="16" t="s">
        <v>125</v>
      </c>
    </row>
    <row r="992" spans="1:11" s="50" customFormat="1" ht="52.8" x14ac:dyDescent="0.3">
      <c r="A992" s="53">
        <v>917</v>
      </c>
      <c r="B992" s="243"/>
      <c r="C992" s="23" t="s">
        <v>1462</v>
      </c>
      <c r="D992" s="16" t="s">
        <v>1463</v>
      </c>
      <c r="E992" s="13" t="s">
        <v>19</v>
      </c>
      <c r="F992" s="101">
        <v>6496.15049</v>
      </c>
      <c r="G992" s="101">
        <v>0</v>
      </c>
      <c r="H992" s="101">
        <v>6496.15049</v>
      </c>
      <c r="I992" s="107">
        <v>0</v>
      </c>
      <c r="J992" s="107">
        <v>0</v>
      </c>
      <c r="K992" s="16" t="s">
        <v>125</v>
      </c>
    </row>
    <row r="993" spans="1:12" s="50" customFormat="1" ht="26.4" x14ac:dyDescent="0.3">
      <c r="A993" s="53">
        <v>918</v>
      </c>
      <c r="B993" s="243"/>
      <c r="C993" s="23" t="s">
        <v>1464</v>
      </c>
      <c r="D993" s="16" t="s">
        <v>1465</v>
      </c>
      <c r="E993" s="13" t="s">
        <v>19</v>
      </c>
      <c r="F993" s="101">
        <v>3849.92</v>
      </c>
      <c r="G993" s="101">
        <v>0</v>
      </c>
      <c r="H993" s="101">
        <v>0</v>
      </c>
      <c r="I993" s="101">
        <v>3849.92</v>
      </c>
      <c r="J993" s="107">
        <v>0</v>
      </c>
      <c r="K993" s="16" t="s">
        <v>1466</v>
      </c>
    </row>
    <row r="994" spans="1:12" s="50" customFormat="1" ht="26.4" x14ac:dyDescent="0.3">
      <c r="A994" s="53">
        <v>919</v>
      </c>
      <c r="B994" s="243"/>
      <c r="C994" s="23" t="s">
        <v>1467</v>
      </c>
      <c r="D994" s="16" t="s">
        <v>1468</v>
      </c>
      <c r="E994" s="13" t="s">
        <v>19</v>
      </c>
      <c r="F994" s="101">
        <v>2724</v>
      </c>
      <c r="G994" s="101">
        <v>0</v>
      </c>
      <c r="H994" s="101">
        <v>0</v>
      </c>
      <c r="I994" s="101">
        <v>2724</v>
      </c>
      <c r="J994" s="107">
        <v>0</v>
      </c>
      <c r="K994" s="16" t="s">
        <v>1466</v>
      </c>
    </row>
    <row r="995" spans="1:12" s="50" customFormat="1" ht="39.6" x14ac:dyDescent="0.3">
      <c r="A995" s="53">
        <v>920</v>
      </c>
      <c r="B995" s="243"/>
      <c r="C995" s="23" t="s">
        <v>1469</v>
      </c>
      <c r="D995" s="16" t="s">
        <v>155</v>
      </c>
      <c r="E995" s="13" t="s">
        <v>19</v>
      </c>
      <c r="F995" s="101">
        <v>1670.72</v>
      </c>
      <c r="G995" s="101">
        <v>0</v>
      </c>
      <c r="H995" s="101">
        <v>0</v>
      </c>
      <c r="I995" s="101">
        <v>1670.72</v>
      </c>
      <c r="J995" s="107">
        <v>0</v>
      </c>
      <c r="K995" s="16" t="s">
        <v>1466</v>
      </c>
    </row>
    <row r="996" spans="1:12" s="50" customFormat="1" ht="26.4" x14ac:dyDescent="0.3">
      <c r="A996" s="53">
        <v>921</v>
      </c>
      <c r="B996" s="243"/>
      <c r="C996" s="23" t="s">
        <v>1470</v>
      </c>
      <c r="D996" s="16" t="s">
        <v>334</v>
      </c>
      <c r="E996" s="13" t="s">
        <v>19</v>
      </c>
      <c r="F996" s="101">
        <v>690.06183999999996</v>
      </c>
      <c r="G996" s="101">
        <v>0</v>
      </c>
      <c r="H996" s="101">
        <v>0</v>
      </c>
      <c r="I996" s="101">
        <v>690.06183999999996</v>
      </c>
      <c r="J996" s="107">
        <v>0</v>
      </c>
      <c r="K996" s="16" t="s">
        <v>1466</v>
      </c>
    </row>
    <row r="997" spans="1:12" s="50" customFormat="1" ht="26.4" x14ac:dyDescent="0.3">
      <c r="A997" s="53">
        <v>922</v>
      </c>
      <c r="B997" s="244"/>
      <c r="C997" s="23" t="s">
        <v>1471</v>
      </c>
      <c r="D997" s="16" t="s">
        <v>1472</v>
      </c>
      <c r="E997" s="13" t="s">
        <v>19</v>
      </c>
      <c r="F997" s="101">
        <v>1707.1704</v>
      </c>
      <c r="G997" s="101">
        <v>0</v>
      </c>
      <c r="H997" s="101">
        <v>0</v>
      </c>
      <c r="I997" s="101">
        <v>1707.1704</v>
      </c>
      <c r="J997" s="107">
        <v>0</v>
      </c>
      <c r="K997" s="16" t="s">
        <v>124</v>
      </c>
    </row>
    <row r="998" spans="1:12" s="51" customFormat="1" ht="33" customHeight="1" x14ac:dyDescent="0.3">
      <c r="A998" s="250" t="s">
        <v>1505</v>
      </c>
      <c r="B998" s="251"/>
      <c r="C998" s="252"/>
      <c r="D998" s="31"/>
      <c r="E998" s="24"/>
      <c r="F998" s="202">
        <f>SUM(F972:F997)</f>
        <v>235969.08614000009</v>
      </c>
      <c r="G998" s="202">
        <f t="shared" ref="G998:I998" si="76">SUM(G972:G997)</f>
        <v>0</v>
      </c>
      <c r="H998" s="202">
        <f t="shared" si="76"/>
        <v>225327.21390000006</v>
      </c>
      <c r="I998" s="202">
        <f t="shared" si="76"/>
        <v>10641.872240000001</v>
      </c>
      <c r="J998" s="202">
        <f>SUM(J972:J997)</f>
        <v>0</v>
      </c>
      <c r="K998" s="25"/>
      <c r="L998" s="74"/>
    </row>
    <row r="999" spans="1:12" s="50" customFormat="1" ht="39.6" x14ac:dyDescent="0.3">
      <c r="A999" s="13">
        <v>923</v>
      </c>
      <c r="B999" s="242" t="s">
        <v>1297</v>
      </c>
      <c r="C999" s="23" t="s">
        <v>1473</v>
      </c>
      <c r="D999" s="16" t="s">
        <v>1474</v>
      </c>
      <c r="E999" s="13" t="s">
        <v>19</v>
      </c>
      <c r="F999" s="101">
        <v>4853.24</v>
      </c>
      <c r="G999" s="107">
        <v>0</v>
      </c>
      <c r="H999" s="107">
        <v>0</v>
      </c>
      <c r="I999" s="101">
        <v>4853.24</v>
      </c>
      <c r="J999" s="107">
        <v>0</v>
      </c>
      <c r="K999" s="16" t="s">
        <v>335</v>
      </c>
    </row>
    <row r="1000" spans="1:12" s="50" customFormat="1" ht="26.4" x14ac:dyDescent="0.3">
      <c r="A1000" s="13">
        <v>924</v>
      </c>
      <c r="B1000" s="243"/>
      <c r="C1000" s="23" t="s">
        <v>1475</v>
      </c>
      <c r="D1000" s="16" t="s">
        <v>1476</v>
      </c>
      <c r="E1000" s="13" t="s">
        <v>19</v>
      </c>
      <c r="F1000" s="101">
        <v>2128.69</v>
      </c>
      <c r="G1000" s="107">
        <v>0</v>
      </c>
      <c r="H1000" s="107">
        <v>0</v>
      </c>
      <c r="I1000" s="101">
        <v>2128.69</v>
      </c>
      <c r="J1000" s="107">
        <v>0</v>
      </c>
      <c r="K1000" s="16" t="s">
        <v>129</v>
      </c>
    </row>
    <row r="1001" spans="1:12" s="50" customFormat="1" ht="26.4" x14ac:dyDescent="0.3">
      <c r="A1001" s="53">
        <v>925</v>
      </c>
      <c r="B1001" s="243"/>
      <c r="C1001" s="23" t="s">
        <v>1477</v>
      </c>
      <c r="D1001" s="16" t="s">
        <v>1478</v>
      </c>
      <c r="E1001" s="13" t="s">
        <v>19</v>
      </c>
      <c r="F1001" s="101">
        <v>15756.67</v>
      </c>
      <c r="G1001" s="107">
        <v>0</v>
      </c>
      <c r="H1001" s="107">
        <v>0</v>
      </c>
      <c r="I1001" s="101">
        <v>15756.67</v>
      </c>
      <c r="J1001" s="107">
        <v>0</v>
      </c>
      <c r="K1001" s="16" t="s">
        <v>129</v>
      </c>
    </row>
    <row r="1002" spans="1:12" s="50" customFormat="1" ht="26.4" x14ac:dyDescent="0.3">
      <c r="A1002" s="53">
        <v>926</v>
      </c>
      <c r="B1002" s="243"/>
      <c r="C1002" s="23" t="s">
        <v>1479</v>
      </c>
      <c r="D1002" s="16" t="s">
        <v>1480</v>
      </c>
      <c r="E1002" s="13" t="s">
        <v>19</v>
      </c>
      <c r="F1002" s="101">
        <v>3420.8738800000001</v>
      </c>
      <c r="G1002" s="107">
        <v>0</v>
      </c>
      <c r="H1002" s="107">
        <v>0</v>
      </c>
      <c r="I1002" s="101">
        <v>3420.8738800000001</v>
      </c>
      <c r="J1002" s="107">
        <v>0</v>
      </c>
      <c r="K1002" s="16" t="s">
        <v>129</v>
      </c>
    </row>
    <row r="1003" spans="1:12" s="50" customFormat="1" ht="26.4" x14ac:dyDescent="0.3">
      <c r="A1003" s="53">
        <v>927</v>
      </c>
      <c r="B1003" s="243"/>
      <c r="C1003" s="23" t="s">
        <v>1481</v>
      </c>
      <c r="D1003" s="16" t="s">
        <v>1482</v>
      </c>
      <c r="E1003" s="13" t="s">
        <v>19</v>
      </c>
      <c r="F1003" s="101">
        <v>4862.92</v>
      </c>
      <c r="G1003" s="107">
        <v>0</v>
      </c>
      <c r="H1003" s="107">
        <v>0</v>
      </c>
      <c r="I1003" s="101">
        <v>4862.92</v>
      </c>
      <c r="J1003" s="107">
        <v>0</v>
      </c>
      <c r="K1003" s="16" t="s">
        <v>129</v>
      </c>
    </row>
    <row r="1004" spans="1:12" s="50" customFormat="1" ht="26.4" x14ac:dyDescent="0.3">
      <c r="A1004" s="53">
        <v>928</v>
      </c>
      <c r="B1004" s="243"/>
      <c r="C1004" s="23" t="s">
        <v>1483</v>
      </c>
      <c r="D1004" s="16" t="s">
        <v>1484</v>
      </c>
      <c r="E1004" s="13" t="s">
        <v>19</v>
      </c>
      <c r="F1004" s="101">
        <v>3991.02</v>
      </c>
      <c r="G1004" s="107">
        <v>0</v>
      </c>
      <c r="H1004" s="107">
        <v>0</v>
      </c>
      <c r="I1004" s="101">
        <v>3991.02</v>
      </c>
      <c r="J1004" s="107">
        <v>0</v>
      </c>
      <c r="K1004" s="16" t="s">
        <v>129</v>
      </c>
    </row>
    <row r="1005" spans="1:12" s="50" customFormat="1" ht="26.4" x14ac:dyDescent="0.3">
      <c r="A1005" s="53">
        <v>929</v>
      </c>
      <c r="B1005" s="243"/>
      <c r="C1005" s="23" t="s">
        <v>1485</v>
      </c>
      <c r="D1005" s="16" t="s">
        <v>1486</v>
      </c>
      <c r="E1005" s="13" t="s">
        <v>19</v>
      </c>
      <c r="F1005" s="101">
        <v>4235.93</v>
      </c>
      <c r="G1005" s="107">
        <v>0</v>
      </c>
      <c r="H1005" s="107">
        <v>0</v>
      </c>
      <c r="I1005" s="101">
        <v>4235.93</v>
      </c>
      <c r="J1005" s="107">
        <v>0</v>
      </c>
      <c r="K1005" s="16" t="s">
        <v>129</v>
      </c>
    </row>
    <row r="1006" spans="1:12" s="50" customFormat="1" ht="26.4" x14ac:dyDescent="0.3">
      <c r="A1006" s="53">
        <v>930</v>
      </c>
      <c r="B1006" s="243"/>
      <c r="C1006" s="23" t="s">
        <v>1487</v>
      </c>
      <c r="D1006" s="16" t="s">
        <v>1361</v>
      </c>
      <c r="E1006" s="13" t="s">
        <v>19</v>
      </c>
      <c r="F1006" s="101">
        <v>1833.1</v>
      </c>
      <c r="G1006" s="107">
        <v>0</v>
      </c>
      <c r="H1006" s="107">
        <v>0</v>
      </c>
      <c r="I1006" s="101">
        <v>1833.1</v>
      </c>
      <c r="J1006" s="107">
        <v>0</v>
      </c>
      <c r="K1006" s="16" t="s">
        <v>129</v>
      </c>
    </row>
    <row r="1007" spans="1:12" s="50" customFormat="1" ht="26.4" x14ac:dyDescent="0.3">
      <c r="A1007" s="53">
        <v>931</v>
      </c>
      <c r="B1007" s="243"/>
      <c r="C1007" s="23" t="s">
        <v>1488</v>
      </c>
      <c r="D1007" s="16" t="s">
        <v>1363</v>
      </c>
      <c r="E1007" s="13" t="s">
        <v>19</v>
      </c>
      <c r="F1007" s="101">
        <v>2551.85</v>
      </c>
      <c r="G1007" s="107">
        <v>0</v>
      </c>
      <c r="H1007" s="107">
        <v>0</v>
      </c>
      <c r="I1007" s="101">
        <v>2551.85</v>
      </c>
      <c r="J1007" s="107">
        <v>0</v>
      </c>
      <c r="K1007" s="16" t="s">
        <v>129</v>
      </c>
    </row>
    <row r="1008" spans="1:12" s="50" customFormat="1" ht="26.4" x14ac:dyDescent="0.3">
      <c r="A1008" s="53">
        <v>932</v>
      </c>
      <c r="B1008" s="243"/>
      <c r="C1008" s="23" t="s">
        <v>1489</v>
      </c>
      <c r="D1008" s="16" t="s">
        <v>1365</v>
      </c>
      <c r="E1008" s="13" t="s">
        <v>19</v>
      </c>
      <c r="F1008" s="101">
        <v>3640.5</v>
      </c>
      <c r="G1008" s="107">
        <v>0</v>
      </c>
      <c r="H1008" s="107">
        <v>0</v>
      </c>
      <c r="I1008" s="101">
        <v>3640.5</v>
      </c>
      <c r="J1008" s="107">
        <v>0</v>
      </c>
      <c r="K1008" s="16" t="s">
        <v>130</v>
      </c>
    </row>
    <row r="1009" spans="1:11" s="50" customFormat="1" ht="39.6" x14ac:dyDescent="0.3">
      <c r="A1009" s="53">
        <v>933</v>
      </c>
      <c r="B1009" s="243"/>
      <c r="C1009" s="23" t="s">
        <v>1490</v>
      </c>
      <c r="D1009" s="16" t="s">
        <v>1515</v>
      </c>
      <c r="E1009" s="13" t="s">
        <v>19</v>
      </c>
      <c r="F1009" s="101">
        <v>32219.119999999999</v>
      </c>
      <c r="G1009" s="107">
        <v>0</v>
      </c>
      <c r="H1009" s="107">
        <v>0</v>
      </c>
      <c r="I1009" s="101">
        <v>32219.119999999999</v>
      </c>
      <c r="J1009" s="107">
        <v>0</v>
      </c>
      <c r="K1009" s="16" t="s">
        <v>129</v>
      </c>
    </row>
    <row r="1010" spans="1:11" s="50" customFormat="1" ht="26.4" x14ac:dyDescent="0.3">
      <c r="A1010" s="53">
        <v>934</v>
      </c>
      <c r="B1010" s="243"/>
      <c r="C1010" s="23" t="s">
        <v>1491</v>
      </c>
      <c r="D1010" s="16" t="s">
        <v>1492</v>
      </c>
      <c r="E1010" s="13" t="s">
        <v>19</v>
      </c>
      <c r="F1010" s="101">
        <v>69668.98</v>
      </c>
      <c r="G1010" s="107">
        <v>0</v>
      </c>
      <c r="H1010" s="107">
        <v>0</v>
      </c>
      <c r="I1010" s="101">
        <v>69668.98</v>
      </c>
      <c r="J1010" s="107">
        <v>0</v>
      </c>
      <c r="K1010" s="16" t="s">
        <v>129</v>
      </c>
    </row>
    <row r="1011" spans="1:11" s="50" customFormat="1" ht="39.6" x14ac:dyDescent="0.3">
      <c r="A1011" s="53">
        <v>935</v>
      </c>
      <c r="B1011" s="243"/>
      <c r="C1011" s="23" t="s">
        <v>1493</v>
      </c>
      <c r="D1011" s="16" t="s">
        <v>1516</v>
      </c>
      <c r="E1011" s="13" t="s">
        <v>19</v>
      </c>
      <c r="F1011" s="101">
        <v>23425.33</v>
      </c>
      <c r="G1011" s="107">
        <v>0</v>
      </c>
      <c r="H1011" s="107">
        <v>0</v>
      </c>
      <c r="I1011" s="101">
        <v>23425.33</v>
      </c>
      <c r="J1011" s="107">
        <v>0</v>
      </c>
      <c r="K1011" s="16" t="s">
        <v>129</v>
      </c>
    </row>
    <row r="1012" spans="1:11" s="50" customFormat="1" ht="26.4" x14ac:dyDescent="0.3">
      <c r="A1012" s="53">
        <v>936</v>
      </c>
      <c r="B1012" s="243"/>
      <c r="C1012" s="23" t="s">
        <v>1494</v>
      </c>
      <c r="D1012" s="16" t="s">
        <v>1495</v>
      </c>
      <c r="E1012" s="13" t="s">
        <v>19</v>
      </c>
      <c r="F1012" s="101">
        <v>8106.67</v>
      </c>
      <c r="G1012" s="107">
        <v>0</v>
      </c>
      <c r="H1012" s="107">
        <v>0</v>
      </c>
      <c r="I1012" s="101">
        <v>8106.67</v>
      </c>
      <c r="J1012" s="107">
        <v>0</v>
      </c>
      <c r="K1012" s="16" t="s">
        <v>129</v>
      </c>
    </row>
    <row r="1013" spans="1:11" s="50" customFormat="1" ht="26.4" x14ac:dyDescent="0.3">
      <c r="A1013" s="53">
        <v>937</v>
      </c>
      <c r="B1013" s="243"/>
      <c r="C1013" s="23" t="s">
        <v>1496</v>
      </c>
      <c r="D1013" s="16" t="s">
        <v>1495</v>
      </c>
      <c r="E1013" s="13" t="s">
        <v>19</v>
      </c>
      <c r="F1013" s="101">
        <v>2449.29</v>
      </c>
      <c r="G1013" s="107">
        <v>0</v>
      </c>
      <c r="H1013" s="107">
        <v>0</v>
      </c>
      <c r="I1013" s="101">
        <v>2449.29</v>
      </c>
      <c r="J1013" s="107">
        <v>0</v>
      </c>
      <c r="K1013" s="16" t="s">
        <v>129</v>
      </c>
    </row>
    <row r="1014" spans="1:11" s="50" customFormat="1" ht="26.4" x14ac:dyDescent="0.3">
      <c r="A1014" s="53">
        <v>938</v>
      </c>
      <c r="B1014" s="243"/>
      <c r="C1014" s="23" t="s">
        <v>1497</v>
      </c>
      <c r="D1014" s="16" t="s">
        <v>1498</v>
      </c>
      <c r="E1014" s="13" t="s">
        <v>19</v>
      </c>
      <c r="F1014" s="101">
        <v>3684.98</v>
      </c>
      <c r="G1014" s="107">
        <v>0</v>
      </c>
      <c r="H1014" s="107">
        <v>0</v>
      </c>
      <c r="I1014" s="101">
        <v>3684.98</v>
      </c>
      <c r="J1014" s="107">
        <v>0</v>
      </c>
      <c r="K1014" s="16" t="s">
        <v>129</v>
      </c>
    </row>
    <row r="1015" spans="1:11" s="50" customFormat="1" ht="26.4" x14ac:dyDescent="0.3">
      <c r="A1015" s="53">
        <v>939</v>
      </c>
      <c r="B1015" s="243"/>
      <c r="C1015" s="23" t="s">
        <v>1499</v>
      </c>
      <c r="D1015" s="16" t="s">
        <v>1461</v>
      </c>
      <c r="E1015" s="13" t="s">
        <v>19</v>
      </c>
      <c r="F1015" s="101">
        <v>1009.35</v>
      </c>
      <c r="G1015" s="107">
        <v>0</v>
      </c>
      <c r="H1015" s="107">
        <v>0</v>
      </c>
      <c r="I1015" s="101">
        <v>1009.35</v>
      </c>
      <c r="J1015" s="107">
        <v>0</v>
      </c>
      <c r="K1015" s="16" t="s">
        <v>129</v>
      </c>
    </row>
    <row r="1016" spans="1:11" s="50" customFormat="1" ht="26.4" x14ac:dyDescent="0.3">
      <c r="A1016" s="53">
        <v>940</v>
      </c>
      <c r="B1016" s="243"/>
      <c r="C1016" s="23" t="s">
        <v>1500</v>
      </c>
      <c r="D1016" s="16" t="s">
        <v>1501</v>
      </c>
      <c r="E1016" s="13" t="s">
        <v>19</v>
      </c>
      <c r="F1016" s="101">
        <v>5397.76</v>
      </c>
      <c r="G1016" s="107">
        <v>0</v>
      </c>
      <c r="H1016" s="107">
        <v>0</v>
      </c>
      <c r="I1016" s="101">
        <v>5397.76</v>
      </c>
      <c r="J1016" s="107">
        <v>0</v>
      </c>
      <c r="K1016" s="16" t="s">
        <v>129</v>
      </c>
    </row>
    <row r="1017" spans="1:11" s="50" customFormat="1" ht="26.4" x14ac:dyDescent="0.3">
      <c r="A1017" s="53">
        <v>941</v>
      </c>
      <c r="B1017" s="243"/>
      <c r="C1017" s="23" t="s">
        <v>1502</v>
      </c>
      <c r="D1017" s="16" t="s">
        <v>1412</v>
      </c>
      <c r="E1017" s="13" t="s">
        <v>19</v>
      </c>
      <c r="F1017" s="101">
        <v>2330.2800000000002</v>
      </c>
      <c r="G1017" s="107">
        <v>0</v>
      </c>
      <c r="H1017" s="107">
        <v>0</v>
      </c>
      <c r="I1017" s="101">
        <v>2330.2800000000002</v>
      </c>
      <c r="J1017" s="107">
        <v>0</v>
      </c>
      <c r="K1017" s="16" t="s">
        <v>129</v>
      </c>
    </row>
    <row r="1018" spans="1:11" s="50" customFormat="1" ht="26.4" x14ac:dyDescent="0.3">
      <c r="A1018" s="53">
        <v>942</v>
      </c>
      <c r="B1018" s="244"/>
      <c r="C1018" s="23" t="s">
        <v>1503</v>
      </c>
      <c r="D1018" s="16" t="s">
        <v>1517</v>
      </c>
      <c r="E1018" s="13" t="s">
        <v>19</v>
      </c>
      <c r="F1018" s="101">
        <v>23110.42</v>
      </c>
      <c r="G1018" s="107">
        <v>0</v>
      </c>
      <c r="H1018" s="107">
        <v>0</v>
      </c>
      <c r="I1018" s="101">
        <v>23110.42</v>
      </c>
      <c r="J1018" s="107">
        <v>0</v>
      </c>
      <c r="K1018" s="16" t="s">
        <v>335</v>
      </c>
    </row>
    <row r="1019" spans="1:11" s="51" customFormat="1" ht="26.4" customHeight="1" x14ac:dyDescent="0.3">
      <c r="A1019" s="250" t="s">
        <v>1506</v>
      </c>
      <c r="B1019" s="251"/>
      <c r="C1019" s="252"/>
      <c r="D1019" s="31"/>
      <c r="E1019" s="24"/>
      <c r="F1019" s="132">
        <f>SUM(F999:F1018)</f>
        <v>218676.97388000006</v>
      </c>
      <c r="G1019" s="132">
        <f t="shared" ref="G1019:I1019" si="77">SUM(G999:G1018)</f>
        <v>0</v>
      </c>
      <c r="H1019" s="132">
        <f t="shared" si="77"/>
        <v>0</v>
      </c>
      <c r="I1019" s="132">
        <f t="shared" si="77"/>
        <v>218676.97388000006</v>
      </c>
      <c r="J1019" s="132">
        <f>SUM(J999:J1018)</f>
        <v>0</v>
      </c>
      <c r="K1019" s="25"/>
    </row>
    <row r="1020" spans="1:11" s="63" customFormat="1" ht="31.2" x14ac:dyDescent="0.3">
      <c r="A1020" s="65">
        <v>943</v>
      </c>
      <c r="B1020" s="245" t="s">
        <v>1623</v>
      </c>
      <c r="C1020" s="1" t="s">
        <v>1624</v>
      </c>
      <c r="D1020" s="1" t="s">
        <v>1625</v>
      </c>
      <c r="E1020" s="61" t="s">
        <v>1246</v>
      </c>
      <c r="F1020" s="103">
        <v>10000</v>
      </c>
      <c r="G1020" s="103">
        <v>10000</v>
      </c>
      <c r="H1020" s="107">
        <v>0</v>
      </c>
      <c r="I1020" s="107">
        <v>0</v>
      </c>
      <c r="J1020" s="107">
        <v>0</v>
      </c>
      <c r="K1020" s="62" t="s">
        <v>166</v>
      </c>
    </row>
    <row r="1021" spans="1:11" s="63" customFormat="1" ht="31.2" x14ac:dyDescent="0.3">
      <c r="A1021" s="65">
        <v>944</v>
      </c>
      <c r="B1021" s="246"/>
      <c r="C1021" s="1" t="s">
        <v>1626</v>
      </c>
      <c r="D1021" s="1" t="s">
        <v>1627</v>
      </c>
      <c r="E1021" s="61" t="s">
        <v>1246</v>
      </c>
      <c r="F1021" s="103">
        <v>2811.19</v>
      </c>
      <c r="G1021" s="103">
        <v>2811.19</v>
      </c>
      <c r="H1021" s="107">
        <v>0</v>
      </c>
      <c r="I1021" s="107">
        <v>0</v>
      </c>
      <c r="J1021" s="107">
        <v>0</v>
      </c>
      <c r="K1021" s="62" t="s">
        <v>166</v>
      </c>
    </row>
    <row r="1022" spans="1:11" s="63" customFormat="1" ht="22.8" customHeight="1" x14ac:dyDescent="0.3">
      <c r="A1022" s="336" t="s">
        <v>1628</v>
      </c>
      <c r="B1022" s="337"/>
      <c r="C1022" s="338"/>
      <c r="D1022" s="70"/>
      <c r="E1022" s="64"/>
      <c r="F1022" s="203">
        <f>SUM(F1020:F1021)</f>
        <v>12811.19</v>
      </c>
      <c r="G1022" s="203">
        <f>SUM(G1020:G1021)</f>
        <v>12811.19</v>
      </c>
      <c r="H1022" s="107">
        <v>0</v>
      </c>
      <c r="I1022" s="107">
        <v>0</v>
      </c>
      <c r="J1022" s="107">
        <v>0</v>
      </c>
      <c r="K1022" s="64"/>
    </row>
    <row r="1023" spans="1:11" s="76" customFormat="1" ht="57" customHeight="1" x14ac:dyDescent="0.3">
      <c r="A1023" s="3">
        <v>945</v>
      </c>
      <c r="B1023" s="334" t="s">
        <v>1629</v>
      </c>
      <c r="C1023" s="4" t="s">
        <v>1630</v>
      </c>
      <c r="D1023" s="4" t="s">
        <v>1631</v>
      </c>
      <c r="E1023" s="4" t="s">
        <v>695</v>
      </c>
      <c r="F1023" s="204">
        <v>10661.38</v>
      </c>
      <c r="G1023" s="204">
        <v>10661.38</v>
      </c>
      <c r="H1023" s="100">
        <v>0</v>
      </c>
      <c r="I1023" s="100">
        <v>0</v>
      </c>
      <c r="J1023" s="100">
        <v>0</v>
      </c>
      <c r="K1023" s="5" t="s">
        <v>1632</v>
      </c>
    </row>
    <row r="1024" spans="1:11" s="76" customFormat="1" ht="66" x14ac:dyDescent="0.3">
      <c r="A1024" s="3">
        <v>946</v>
      </c>
      <c r="B1024" s="334"/>
      <c r="C1024" s="4" t="s">
        <v>1633</v>
      </c>
      <c r="D1024" s="4" t="s">
        <v>1634</v>
      </c>
      <c r="E1024" s="4" t="s">
        <v>695</v>
      </c>
      <c r="F1024" s="204">
        <v>6369.9251999999997</v>
      </c>
      <c r="G1024" s="204">
        <v>6369.9251999999997</v>
      </c>
      <c r="H1024" s="100">
        <v>0</v>
      </c>
      <c r="I1024" s="100">
        <v>0</v>
      </c>
      <c r="J1024" s="100">
        <v>0</v>
      </c>
      <c r="K1024" s="5" t="s">
        <v>1635</v>
      </c>
    </row>
    <row r="1025" spans="1:12" s="76" customFormat="1" ht="118.8" x14ac:dyDescent="0.3">
      <c r="A1025" s="3">
        <v>947</v>
      </c>
      <c r="B1025" s="334"/>
      <c r="C1025" s="4" t="s">
        <v>1636</v>
      </c>
      <c r="D1025" s="4" t="s">
        <v>1637</v>
      </c>
      <c r="E1025" s="4" t="s">
        <v>695</v>
      </c>
      <c r="F1025" s="204">
        <v>10941.4</v>
      </c>
      <c r="G1025" s="204">
        <v>10941.4</v>
      </c>
      <c r="H1025" s="100">
        <v>0</v>
      </c>
      <c r="I1025" s="100">
        <v>0</v>
      </c>
      <c r="J1025" s="100">
        <v>0</v>
      </c>
      <c r="K1025" s="5" t="s">
        <v>1638</v>
      </c>
    </row>
    <row r="1026" spans="1:12" s="76" customFormat="1" ht="105.6" x14ac:dyDescent="0.3">
      <c r="A1026" s="3">
        <v>948</v>
      </c>
      <c r="B1026" s="334"/>
      <c r="C1026" s="4" t="s">
        <v>1639</v>
      </c>
      <c r="D1026" s="4" t="s">
        <v>1640</v>
      </c>
      <c r="E1026" s="4" t="s">
        <v>695</v>
      </c>
      <c r="F1026" s="204">
        <v>7743.3</v>
      </c>
      <c r="G1026" s="204">
        <v>7743.3</v>
      </c>
      <c r="H1026" s="100">
        <v>0</v>
      </c>
      <c r="I1026" s="100">
        <v>0</v>
      </c>
      <c r="J1026" s="100">
        <v>0</v>
      </c>
      <c r="K1026" s="5" t="s">
        <v>1638</v>
      </c>
    </row>
    <row r="1027" spans="1:12" s="76" customFormat="1" ht="52.8" x14ac:dyDescent="0.3">
      <c r="A1027" s="3">
        <v>949</v>
      </c>
      <c r="B1027" s="334"/>
      <c r="C1027" s="4" t="s">
        <v>1641</v>
      </c>
      <c r="D1027" s="4" t="s">
        <v>1642</v>
      </c>
      <c r="E1027" s="4" t="s">
        <v>695</v>
      </c>
      <c r="F1027" s="204">
        <v>16864.850999999999</v>
      </c>
      <c r="G1027" s="204">
        <f t="shared" ref="G1027" si="78">F1027</f>
        <v>16864.850999999999</v>
      </c>
      <c r="H1027" s="100">
        <v>0</v>
      </c>
      <c r="I1027" s="100">
        <v>0</v>
      </c>
      <c r="J1027" s="100">
        <v>0</v>
      </c>
      <c r="K1027" s="5" t="s">
        <v>1632</v>
      </c>
    </row>
    <row r="1028" spans="1:12" s="76" customFormat="1" ht="79.2" x14ac:dyDescent="0.3">
      <c r="A1028" s="3">
        <v>950</v>
      </c>
      <c r="B1028" s="334"/>
      <c r="C1028" s="4" t="s">
        <v>1643</v>
      </c>
      <c r="D1028" s="4" t="s">
        <v>1644</v>
      </c>
      <c r="E1028" s="4" t="s">
        <v>695</v>
      </c>
      <c r="F1028" s="204">
        <v>2563.8000000000002</v>
      </c>
      <c r="G1028" s="204">
        <v>2563.8000000000002</v>
      </c>
      <c r="H1028" s="100">
        <v>0</v>
      </c>
      <c r="I1028" s="100">
        <v>0</v>
      </c>
      <c r="J1028" s="100">
        <v>0</v>
      </c>
      <c r="K1028" s="5" t="s">
        <v>1638</v>
      </c>
    </row>
    <row r="1029" spans="1:12" s="76" customFormat="1" ht="79.2" x14ac:dyDescent="0.3">
      <c r="A1029" s="3">
        <v>951</v>
      </c>
      <c r="B1029" s="334"/>
      <c r="C1029" s="4" t="s">
        <v>1645</v>
      </c>
      <c r="D1029" s="4" t="s">
        <v>1646</v>
      </c>
      <c r="E1029" s="4" t="s">
        <v>695</v>
      </c>
      <c r="F1029" s="204">
        <v>2126.1</v>
      </c>
      <c r="G1029" s="204">
        <v>2126.1</v>
      </c>
      <c r="H1029" s="100">
        <v>0</v>
      </c>
      <c r="I1029" s="100">
        <v>0</v>
      </c>
      <c r="J1029" s="100">
        <v>0</v>
      </c>
      <c r="K1029" s="5" t="s">
        <v>1638</v>
      </c>
    </row>
    <row r="1030" spans="1:12" s="76" customFormat="1" ht="52.8" x14ac:dyDescent="0.3">
      <c r="A1030" s="3">
        <v>952</v>
      </c>
      <c r="B1030" s="334"/>
      <c r="C1030" s="4" t="s">
        <v>1647</v>
      </c>
      <c r="D1030" s="4" t="s">
        <v>1648</v>
      </c>
      <c r="E1030" s="4" t="s">
        <v>695</v>
      </c>
      <c r="F1030" s="204">
        <v>8602.9060000000009</v>
      </c>
      <c r="G1030" s="204">
        <v>0</v>
      </c>
      <c r="H1030" s="100">
        <v>0</v>
      </c>
      <c r="I1030" s="233">
        <v>8602.9060000000009</v>
      </c>
      <c r="J1030" s="100">
        <v>0</v>
      </c>
      <c r="K1030" s="5" t="s">
        <v>1649</v>
      </c>
    </row>
    <row r="1031" spans="1:12" s="76" customFormat="1" ht="21" customHeight="1" x14ac:dyDescent="0.3">
      <c r="A1031" s="335" t="s">
        <v>1628</v>
      </c>
      <c r="B1031" s="335"/>
      <c r="C1031" s="335"/>
      <c r="D1031" s="75"/>
      <c r="E1031" s="77"/>
      <c r="F1031" s="205">
        <f>SUM(F1023:F1030)</f>
        <v>65873.662199999992</v>
      </c>
      <c r="G1031" s="205">
        <f>SUM(G1023:G1030)</f>
        <v>57270.756199999996</v>
      </c>
      <c r="H1031" s="205">
        <f t="shared" ref="H1031:J1031" si="79">SUM(H1023:H1030)</f>
        <v>0</v>
      </c>
      <c r="I1031" s="205">
        <f t="shared" si="79"/>
        <v>8602.9060000000009</v>
      </c>
      <c r="J1031" s="205">
        <f t="shared" si="79"/>
        <v>0</v>
      </c>
      <c r="K1031" s="77"/>
      <c r="L1031" s="78"/>
    </row>
    <row r="1032" spans="1:12" s="81" customFormat="1" ht="26.4" x14ac:dyDescent="0.3">
      <c r="A1032" s="79">
        <v>953</v>
      </c>
      <c r="B1032" s="245" t="s">
        <v>1650</v>
      </c>
      <c r="C1032" s="18" t="s">
        <v>1651</v>
      </c>
      <c r="D1032" s="80" t="s">
        <v>1652</v>
      </c>
      <c r="E1032" s="16" t="s">
        <v>19</v>
      </c>
      <c r="F1032" s="107">
        <f>761000/1000</f>
        <v>761</v>
      </c>
      <c r="G1032" s="107">
        <f>761000/1000</f>
        <v>761</v>
      </c>
      <c r="H1032" s="107">
        <v>0</v>
      </c>
      <c r="I1032" s="107">
        <v>0</v>
      </c>
      <c r="J1032" s="107">
        <v>0</v>
      </c>
      <c r="K1032" s="16" t="s">
        <v>1632</v>
      </c>
    </row>
    <row r="1033" spans="1:12" s="81" customFormat="1" ht="26.4" x14ac:dyDescent="0.3">
      <c r="A1033" s="79">
        <f>A1032+1</f>
        <v>954</v>
      </c>
      <c r="B1033" s="315"/>
      <c r="C1033" s="18" t="s">
        <v>1653</v>
      </c>
      <c r="D1033" s="80" t="s">
        <v>1654</v>
      </c>
      <c r="E1033" s="16" t="s">
        <v>19</v>
      </c>
      <c r="F1033" s="107">
        <f>999200/1000</f>
        <v>999.2</v>
      </c>
      <c r="G1033" s="107">
        <f>999200/1000</f>
        <v>999.2</v>
      </c>
      <c r="H1033" s="107">
        <v>0</v>
      </c>
      <c r="I1033" s="107">
        <v>0</v>
      </c>
      <c r="J1033" s="107">
        <v>0</v>
      </c>
      <c r="K1033" s="16" t="s">
        <v>1632</v>
      </c>
    </row>
    <row r="1034" spans="1:12" s="81" customFormat="1" ht="26.4" x14ac:dyDescent="0.3">
      <c r="A1034" s="79">
        <f t="shared" ref="A1034:A1038" si="80">A1033+1</f>
        <v>955</v>
      </c>
      <c r="B1034" s="315"/>
      <c r="C1034" s="18" t="s">
        <v>1655</v>
      </c>
      <c r="D1034" s="80" t="s">
        <v>1656</v>
      </c>
      <c r="E1034" s="16" t="s">
        <v>19</v>
      </c>
      <c r="F1034" s="107">
        <f>998000/1000</f>
        <v>998</v>
      </c>
      <c r="G1034" s="107">
        <f>998000/1000</f>
        <v>998</v>
      </c>
      <c r="H1034" s="107">
        <v>0</v>
      </c>
      <c r="I1034" s="107">
        <v>0</v>
      </c>
      <c r="J1034" s="107">
        <v>0</v>
      </c>
      <c r="K1034" s="16" t="s">
        <v>1632</v>
      </c>
    </row>
    <row r="1035" spans="1:12" s="81" customFormat="1" ht="26.4" x14ac:dyDescent="0.3">
      <c r="A1035" s="79">
        <f t="shared" si="80"/>
        <v>956</v>
      </c>
      <c r="B1035" s="315"/>
      <c r="C1035" s="18" t="s">
        <v>1657</v>
      </c>
      <c r="D1035" s="80" t="s">
        <v>1652</v>
      </c>
      <c r="E1035" s="16" t="s">
        <v>19</v>
      </c>
      <c r="F1035" s="107">
        <f>965000/1000</f>
        <v>965</v>
      </c>
      <c r="G1035" s="107">
        <f>965000/1000</f>
        <v>965</v>
      </c>
      <c r="H1035" s="107">
        <v>0</v>
      </c>
      <c r="I1035" s="107">
        <v>0</v>
      </c>
      <c r="J1035" s="107">
        <v>0</v>
      </c>
      <c r="K1035" s="16" t="s">
        <v>1632</v>
      </c>
    </row>
    <row r="1036" spans="1:12" s="81" customFormat="1" ht="26.4" x14ac:dyDescent="0.3">
      <c r="A1036" s="79">
        <f t="shared" si="80"/>
        <v>957</v>
      </c>
      <c r="B1036" s="315"/>
      <c r="C1036" s="21" t="s">
        <v>1658</v>
      </c>
      <c r="D1036" s="80" t="s">
        <v>182</v>
      </c>
      <c r="E1036" s="16" t="s">
        <v>19</v>
      </c>
      <c r="F1036" s="107">
        <f>270000/1000</f>
        <v>270</v>
      </c>
      <c r="G1036" s="107">
        <f>270000/1000</f>
        <v>270</v>
      </c>
      <c r="H1036" s="107">
        <v>0</v>
      </c>
      <c r="I1036" s="107">
        <v>0</v>
      </c>
      <c r="J1036" s="107">
        <v>0</v>
      </c>
      <c r="K1036" s="16" t="s">
        <v>1635</v>
      </c>
    </row>
    <row r="1037" spans="1:12" s="81" customFormat="1" ht="26.4" x14ac:dyDescent="0.3">
      <c r="A1037" s="79">
        <f t="shared" si="80"/>
        <v>958</v>
      </c>
      <c r="B1037" s="315"/>
      <c r="C1037" s="18" t="s">
        <v>1659</v>
      </c>
      <c r="D1037" s="80" t="s">
        <v>1660</v>
      </c>
      <c r="E1037" s="16" t="s">
        <v>19</v>
      </c>
      <c r="F1037" s="107">
        <f>50000000/1000</f>
        <v>50000</v>
      </c>
      <c r="G1037" s="107">
        <v>0</v>
      </c>
      <c r="H1037" s="107">
        <f>25000000/1000</f>
        <v>25000</v>
      </c>
      <c r="I1037" s="107">
        <f>25000000/1000</f>
        <v>25000</v>
      </c>
      <c r="J1037" s="107">
        <v>0</v>
      </c>
      <c r="K1037" s="16" t="s">
        <v>1661</v>
      </c>
    </row>
    <row r="1038" spans="1:12" s="81" customFormat="1" ht="26.4" x14ac:dyDescent="0.3">
      <c r="A1038" s="79">
        <f t="shared" si="80"/>
        <v>959</v>
      </c>
      <c r="B1038" s="246"/>
      <c r="C1038" s="21" t="s">
        <v>1662</v>
      </c>
      <c r="D1038" s="80" t="s">
        <v>1652</v>
      </c>
      <c r="E1038" s="16" t="s">
        <v>19</v>
      </c>
      <c r="F1038" s="107">
        <f>981390/1000</f>
        <v>981.39</v>
      </c>
      <c r="G1038" s="107">
        <f>981390/1000</f>
        <v>981.39</v>
      </c>
      <c r="H1038" s="107">
        <v>0</v>
      </c>
      <c r="I1038" s="107">
        <v>0</v>
      </c>
      <c r="J1038" s="107">
        <v>0</v>
      </c>
      <c r="K1038" s="16" t="s">
        <v>1632</v>
      </c>
    </row>
    <row r="1039" spans="1:12" s="81" customFormat="1" x14ac:dyDescent="0.3">
      <c r="A1039" s="241" t="s">
        <v>1628</v>
      </c>
      <c r="B1039" s="241"/>
      <c r="C1039" s="241"/>
      <c r="D1039" s="65"/>
      <c r="E1039" s="65"/>
      <c r="F1039" s="192">
        <f>SUM(F1032:F1038)</f>
        <v>54974.59</v>
      </c>
      <c r="G1039" s="192">
        <f>SUM(G1032:G1038)</f>
        <v>4974.59</v>
      </c>
      <c r="H1039" s="192">
        <f>SUM(H1032:H1038)</f>
        <v>25000</v>
      </c>
      <c r="I1039" s="192">
        <f>SUM(I1032:I1038)</f>
        <v>25000</v>
      </c>
      <c r="J1039" s="192">
        <f>SUM(J1034:J1034)</f>
        <v>0</v>
      </c>
      <c r="K1039" s="65"/>
      <c r="L1039" s="127"/>
    </row>
    <row r="1040" spans="1:12" s="68" customFormat="1" ht="26.4" x14ac:dyDescent="0.3">
      <c r="A1040" s="65">
        <v>960</v>
      </c>
      <c r="B1040" s="245" t="s">
        <v>1663</v>
      </c>
      <c r="C1040" s="21" t="s">
        <v>1664</v>
      </c>
      <c r="D1040" s="16" t="s">
        <v>1652</v>
      </c>
      <c r="E1040" s="16" t="s">
        <v>19</v>
      </c>
      <c r="F1040" s="107">
        <f>76067/1000</f>
        <v>76.066999999999993</v>
      </c>
      <c r="G1040" s="107">
        <f>76067/1000</f>
        <v>76.066999999999993</v>
      </c>
      <c r="H1040" s="107">
        <v>0</v>
      </c>
      <c r="I1040" s="107">
        <v>0</v>
      </c>
      <c r="J1040" s="107">
        <v>0</v>
      </c>
      <c r="K1040" s="82" t="s">
        <v>1635</v>
      </c>
    </row>
    <row r="1041" spans="1:11" s="68" customFormat="1" ht="26.4" x14ac:dyDescent="0.3">
      <c r="A1041" s="65">
        <v>961</v>
      </c>
      <c r="B1041" s="315"/>
      <c r="C1041" s="18" t="s">
        <v>1665</v>
      </c>
      <c r="D1041" s="16" t="s">
        <v>1666</v>
      </c>
      <c r="E1041" s="16" t="s">
        <v>19</v>
      </c>
      <c r="F1041" s="107">
        <f>297741/1000</f>
        <v>297.74099999999999</v>
      </c>
      <c r="G1041" s="107">
        <f>297741/1000</f>
        <v>297.74099999999999</v>
      </c>
      <c r="H1041" s="107">
        <v>0</v>
      </c>
      <c r="I1041" s="107">
        <v>0</v>
      </c>
      <c r="J1041" s="107">
        <v>0</v>
      </c>
      <c r="K1041" s="16" t="s">
        <v>1632</v>
      </c>
    </row>
    <row r="1042" spans="1:11" s="68" customFormat="1" ht="26.4" x14ac:dyDescent="0.3">
      <c r="A1042" s="65">
        <v>962</v>
      </c>
      <c r="B1042" s="315"/>
      <c r="C1042" s="18" t="s">
        <v>1667</v>
      </c>
      <c r="D1042" s="16" t="s">
        <v>1668</v>
      </c>
      <c r="E1042" s="16" t="s">
        <v>19</v>
      </c>
      <c r="F1042" s="107">
        <f>366380/1000</f>
        <v>366.38</v>
      </c>
      <c r="G1042" s="107">
        <f>366380/1000</f>
        <v>366.38</v>
      </c>
      <c r="H1042" s="107">
        <v>0</v>
      </c>
      <c r="I1042" s="107">
        <v>0</v>
      </c>
      <c r="J1042" s="107">
        <v>0</v>
      </c>
      <c r="K1042" s="16" t="s">
        <v>1632</v>
      </c>
    </row>
    <row r="1043" spans="1:11" s="68" customFormat="1" ht="26.4" x14ac:dyDescent="0.3">
      <c r="A1043" s="65">
        <v>963</v>
      </c>
      <c r="B1043" s="315"/>
      <c r="C1043" s="18" t="s">
        <v>1669</v>
      </c>
      <c r="D1043" s="16" t="s">
        <v>1652</v>
      </c>
      <c r="E1043" s="16" t="s">
        <v>19</v>
      </c>
      <c r="F1043" s="107">
        <f>115394/1000</f>
        <v>115.39400000000001</v>
      </c>
      <c r="G1043" s="107">
        <f>115394/1000</f>
        <v>115.39400000000001</v>
      </c>
      <c r="H1043" s="107">
        <v>0</v>
      </c>
      <c r="I1043" s="107">
        <v>0</v>
      </c>
      <c r="J1043" s="107">
        <v>0</v>
      </c>
      <c r="K1043" s="16" t="s">
        <v>1635</v>
      </c>
    </row>
    <row r="1044" spans="1:11" s="68" customFormat="1" ht="26.4" x14ac:dyDescent="0.3">
      <c r="A1044" s="65">
        <v>964</v>
      </c>
      <c r="B1044" s="246"/>
      <c r="C1044" s="18" t="s">
        <v>1670</v>
      </c>
      <c r="D1044" s="16" t="s">
        <v>1652</v>
      </c>
      <c r="E1044" s="16" t="s">
        <v>19</v>
      </c>
      <c r="F1044" s="107">
        <f>233134/1000</f>
        <v>233.13399999999999</v>
      </c>
      <c r="G1044" s="107">
        <f>233134/1000</f>
        <v>233.13399999999999</v>
      </c>
      <c r="H1044" s="107">
        <v>0</v>
      </c>
      <c r="I1044" s="107">
        <v>0</v>
      </c>
      <c r="J1044" s="107">
        <v>0</v>
      </c>
      <c r="K1044" s="16" t="s">
        <v>1635</v>
      </c>
    </row>
    <row r="1045" spans="1:11" s="81" customFormat="1" x14ac:dyDescent="0.3">
      <c r="A1045" s="325" t="s">
        <v>1628</v>
      </c>
      <c r="B1045" s="326"/>
      <c r="C1045" s="327"/>
      <c r="D1045" s="68"/>
      <c r="E1045" s="83"/>
      <c r="F1045" s="206">
        <f>SUM(G1045:J1045)</f>
        <v>1088.7159999999999</v>
      </c>
      <c r="G1045" s="206">
        <f>SUM(G1040:G1044)</f>
        <v>1088.7159999999999</v>
      </c>
      <c r="H1045" s="206">
        <f>SUM(H1040:H1044)</f>
        <v>0</v>
      </c>
      <c r="I1045" s="206">
        <f>SUM(I1040:I1044)</f>
        <v>0</v>
      </c>
      <c r="J1045" s="206">
        <f>SUM(J1040:J1044)</f>
        <v>0</v>
      </c>
      <c r="K1045" s="83"/>
    </row>
    <row r="1046" spans="1:11" s="68" customFormat="1" ht="26.4" x14ac:dyDescent="0.3">
      <c r="A1046" s="65">
        <v>965</v>
      </c>
      <c r="B1046" s="66" t="s">
        <v>1663</v>
      </c>
      <c r="C1046" s="18" t="s">
        <v>1671</v>
      </c>
      <c r="D1046" s="16" t="s">
        <v>1652</v>
      </c>
      <c r="E1046" s="16" t="s">
        <v>19</v>
      </c>
      <c r="F1046" s="107">
        <f>233134/1000</f>
        <v>233.13399999999999</v>
      </c>
      <c r="G1046" s="107">
        <v>0</v>
      </c>
      <c r="H1046" s="107">
        <f>233134/1000</f>
        <v>233.13399999999999</v>
      </c>
      <c r="I1046" s="107">
        <v>0</v>
      </c>
      <c r="J1046" s="107">
        <v>0</v>
      </c>
      <c r="K1046" s="16" t="s">
        <v>1672</v>
      </c>
    </row>
    <row r="1047" spans="1:11" s="81" customFormat="1" x14ac:dyDescent="0.3">
      <c r="A1047" s="319" t="s">
        <v>1622</v>
      </c>
      <c r="B1047" s="320"/>
      <c r="C1047" s="321"/>
      <c r="D1047" s="16"/>
      <c r="E1047" s="65"/>
      <c r="F1047" s="192">
        <f>SUM(G1047:J1047)</f>
        <v>233.13399999999999</v>
      </c>
      <c r="G1047" s="192">
        <f>SUM(G1046:G1046)</f>
        <v>0</v>
      </c>
      <c r="H1047" s="192">
        <f>SUM(H1046:H1046)</f>
        <v>233.13399999999999</v>
      </c>
      <c r="I1047" s="192">
        <f>SUM(I1046:I1046)</f>
        <v>0</v>
      </c>
      <c r="J1047" s="192">
        <f>SUM(J1046:J1046)</f>
        <v>0</v>
      </c>
      <c r="K1047" s="65"/>
    </row>
    <row r="1048" spans="1:11" s="68" customFormat="1" ht="26.4" x14ac:dyDescent="0.3">
      <c r="A1048" s="65">
        <v>966</v>
      </c>
      <c r="B1048" s="66" t="s">
        <v>1663</v>
      </c>
      <c r="C1048" s="18" t="s">
        <v>1673</v>
      </c>
      <c r="D1048" s="16" t="s">
        <v>1652</v>
      </c>
      <c r="E1048" s="16" t="s">
        <v>19</v>
      </c>
      <c r="F1048" s="107">
        <f>233134/1000</f>
        <v>233.13399999999999</v>
      </c>
      <c r="G1048" s="107">
        <v>0</v>
      </c>
      <c r="H1048" s="107">
        <v>0</v>
      </c>
      <c r="I1048" s="107">
        <f>233134/1000</f>
        <v>233.13399999999999</v>
      </c>
      <c r="J1048" s="107">
        <v>0</v>
      </c>
      <c r="K1048" s="16" t="s">
        <v>1674</v>
      </c>
    </row>
    <row r="1049" spans="1:11" s="81" customFormat="1" x14ac:dyDescent="0.3">
      <c r="A1049" s="319" t="s">
        <v>1675</v>
      </c>
      <c r="B1049" s="320"/>
      <c r="C1049" s="321"/>
      <c r="D1049" s="84"/>
      <c r="E1049" s="65"/>
      <c r="F1049" s="192">
        <f>SUM(G1049:J1049)</f>
        <v>233.13399999999999</v>
      </c>
      <c r="G1049" s="192">
        <f>SUM(G1048:G1048)</f>
        <v>0</v>
      </c>
      <c r="H1049" s="192">
        <f>SUM(H1048:H1048)</f>
        <v>0</v>
      </c>
      <c r="I1049" s="192">
        <f>SUM(I1048:I1048)</f>
        <v>233.13399999999999</v>
      </c>
      <c r="J1049" s="192">
        <f>SUM(J1048:J1048)</f>
        <v>0</v>
      </c>
      <c r="K1049" s="65"/>
    </row>
    <row r="1050" spans="1:11" s="81" customFormat="1" ht="26.4" x14ac:dyDescent="0.3">
      <c r="A1050" s="79">
        <v>967</v>
      </c>
      <c r="B1050" s="245" t="s">
        <v>1676</v>
      </c>
      <c r="C1050" s="18" t="s">
        <v>1677</v>
      </c>
      <c r="D1050" s="16" t="s">
        <v>1652</v>
      </c>
      <c r="E1050" s="16" t="s">
        <v>19</v>
      </c>
      <c r="F1050" s="107">
        <f>177500/1000</f>
        <v>177.5</v>
      </c>
      <c r="G1050" s="107">
        <f>177500/1000</f>
        <v>177.5</v>
      </c>
      <c r="H1050" s="107">
        <v>0</v>
      </c>
      <c r="I1050" s="107">
        <v>0</v>
      </c>
      <c r="J1050" s="107">
        <v>0</v>
      </c>
      <c r="K1050" s="16" t="s">
        <v>1635</v>
      </c>
    </row>
    <row r="1051" spans="1:11" s="81" customFormat="1" ht="26.4" x14ac:dyDescent="0.3">
      <c r="A1051" s="79">
        <v>968</v>
      </c>
      <c r="B1051" s="246"/>
      <c r="C1051" s="18" t="s">
        <v>1678</v>
      </c>
      <c r="D1051" s="16" t="s">
        <v>1652</v>
      </c>
      <c r="E1051" s="16" t="s">
        <v>19</v>
      </c>
      <c r="F1051" s="107">
        <f>459000/1000</f>
        <v>459</v>
      </c>
      <c r="G1051" s="107">
        <f>459000/1000</f>
        <v>459</v>
      </c>
      <c r="H1051" s="107">
        <v>0</v>
      </c>
      <c r="I1051" s="107">
        <v>0</v>
      </c>
      <c r="J1051" s="107">
        <v>0</v>
      </c>
      <c r="K1051" s="16" t="s">
        <v>1635</v>
      </c>
    </row>
    <row r="1052" spans="1:11" s="81" customFormat="1" x14ac:dyDescent="0.3">
      <c r="A1052" s="319" t="s">
        <v>1628</v>
      </c>
      <c r="B1052" s="320"/>
      <c r="C1052" s="321"/>
      <c r="D1052" s="68"/>
      <c r="E1052" s="65"/>
      <c r="F1052" s="192">
        <f>SUM(G1052:J1052)</f>
        <v>636.5</v>
      </c>
      <c r="G1052" s="192">
        <f>SUM(G1050:G1051)</f>
        <v>636.5</v>
      </c>
      <c r="H1052" s="192">
        <f>SUM(H1050:H1050)</f>
        <v>0</v>
      </c>
      <c r="I1052" s="192">
        <f>SUM(I1050:I1050)</f>
        <v>0</v>
      </c>
      <c r="J1052" s="192">
        <f>SUM(J1050)</f>
        <v>0</v>
      </c>
      <c r="K1052" s="65"/>
    </row>
    <row r="1053" spans="1:11" s="81" customFormat="1" ht="26.4" x14ac:dyDescent="0.3">
      <c r="A1053" s="79">
        <v>969</v>
      </c>
      <c r="B1053" s="66" t="s">
        <v>1676</v>
      </c>
      <c r="C1053" s="18" t="s">
        <v>1679</v>
      </c>
      <c r="D1053" s="16" t="s">
        <v>1652</v>
      </c>
      <c r="E1053" s="16" t="s">
        <v>19</v>
      </c>
      <c r="F1053" s="107">
        <f>177500/1000</f>
        <v>177.5</v>
      </c>
      <c r="G1053" s="107">
        <v>0</v>
      </c>
      <c r="H1053" s="107">
        <f>177500/1000</f>
        <v>177.5</v>
      </c>
      <c r="I1053" s="107">
        <v>0</v>
      </c>
      <c r="J1053" s="107">
        <v>0</v>
      </c>
      <c r="K1053" s="16" t="s">
        <v>1680</v>
      </c>
    </row>
    <row r="1054" spans="1:11" s="81" customFormat="1" x14ac:dyDescent="0.3">
      <c r="A1054" s="319" t="s">
        <v>1622</v>
      </c>
      <c r="B1054" s="320"/>
      <c r="C1054" s="321"/>
      <c r="D1054" s="16"/>
      <c r="E1054" s="65"/>
      <c r="F1054" s="192">
        <f>SUM(G1054:J1054)</f>
        <v>177.5</v>
      </c>
      <c r="G1054" s="192">
        <f>SUM(G1053:G1053)</f>
        <v>0</v>
      </c>
      <c r="H1054" s="192">
        <f>SUM(H1050:H1053)</f>
        <v>177.5</v>
      </c>
      <c r="I1054" s="192">
        <f>SUM(I1053:I1053)</f>
        <v>0</v>
      </c>
      <c r="J1054" s="198">
        <f>SUM(J1053:J1053)</f>
        <v>0</v>
      </c>
      <c r="K1054" s="65"/>
    </row>
    <row r="1055" spans="1:11" s="81" customFormat="1" ht="26.4" x14ac:dyDescent="0.3">
      <c r="A1055" s="79">
        <v>970</v>
      </c>
      <c r="B1055" s="66" t="s">
        <v>1676</v>
      </c>
      <c r="C1055" s="18" t="s">
        <v>1681</v>
      </c>
      <c r="D1055" s="16" t="s">
        <v>1652</v>
      </c>
      <c r="E1055" s="16" t="s">
        <v>19</v>
      </c>
      <c r="F1055" s="107">
        <f>459000/1000</f>
        <v>459</v>
      </c>
      <c r="G1055" s="107">
        <v>0</v>
      </c>
      <c r="H1055" s="107">
        <v>0</v>
      </c>
      <c r="I1055" s="107">
        <f>459000/1000</f>
        <v>459</v>
      </c>
      <c r="J1055" s="107">
        <v>0</v>
      </c>
      <c r="K1055" s="16" t="s">
        <v>1649</v>
      </c>
    </row>
    <row r="1056" spans="1:11" s="81" customFormat="1" x14ac:dyDescent="0.3">
      <c r="A1056" s="319" t="s">
        <v>1675</v>
      </c>
      <c r="B1056" s="320"/>
      <c r="C1056" s="321"/>
      <c r="D1056" s="84"/>
      <c r="E1056" s="65"/>
      <c r="F1056" s="192">
        <f>SUM(G1056:J1056)</f>
        <v>459</v>
      </c>
      <c r="G1056" s="192">
        <f>SUM(G1055:G1055)</f>
        <v>0</v>
      </c>
      <c r="H1056" s="192">
        <f>SUM(H1055:H1055)</f>
        <v>0</v>
      </c>
      <c r="I1056" s="192">
        <f>SUM(I1055:I1055)</f>
        <v>459</v>
      </c>
      <c r="J1056" s="198">
        <f>SUM(J1055:J1055)</f>
        <v>0</v>
      </c>
      <c r="K1056" s="65"/>
    </row>
    <row r="1057" spans="1:11" s="81" customFormat="1" ht="26.4" x14ac:dyDescent="0.3">
      <c r="A1057" s="85">
        <v>971</v>
      </c>
      <c r="B1057" s="294" t="s">
        <v>1682</v>
      </c>
      <c r="C1057" s="86" t="s">
        <v>1683</v>
      </c>
      <c r="D1057" s="80" t="s">
        <v>1684</v>
      </c>
      <c r="E1057" s="16" t="s">
        <v>19</v>
      </c>
      <c r="F1057" s="107">
        <f>428347.05/1000</f>
        <v>428.34704999999997</v>
      </c>
      <c r="G1057" s="107">
        <f>142782.35/1000</f>
        <v>142.78235000000001</v>
      </c>
      <c r="H1057" s="107">
        <f>285564.7/1000</f>
        <v>285.56470000000002</v>
      </c>
      <c r="I1057" s="107">
        <v>0</v>
      </c>
      <c r="J1057" s="107">
        <v>0</v>
      </c>
      <c r="K1057" s="16" t="s">
        <v>1635</v>
      </c>
    </row>
    <row r="1058" spans="1:11" s="81" customFormat="1" ht="26.4" x14ac:dyDescent="0.3">
      <c r="A1058" s="85">
        <v>972</v>
      </c>
      <c r="B1058" s="305"/>
      <c r="C1058" s="86" t="s">
        <v>1685</v>
      </c>
      <c r="D1058" s="80" t="s">
        <v>137</v>
      </c>
      <c r="E1058" s="16" t="s">
        <v>19</v>
      </c>
      <c r="F1058" s="107">
        <f>6441120/1000</f>
        <v>6441.12</v>
      </c>
      <c r="G1058" s="107">
        <f>2769060/1000</f>
        <v>2769.06</v>
      </c>
      <c r="H1058" s="107">
        <f>3672060/1000</f>
        <v>3672.06</v>
      </c>
      <c r="I1058" s="107">
        <v>0</v>
      </c>
      <c r="J1058" s="107">
        <v>0</v>
      </c>
      <c r="K1058" s="16" t="s">
        <v>1686</v>
      </c>
    </row>
    <row r="1059" spans="1:11" s="81" customFormat="1" ht="26.4" x14ac:dyDescent="0.3">
      <c r="A1059" s="85">
        <v>973</v>
      </c>
      <c r="B1059" s="305"/>
      <c r="C1059" s="86" t="s">
        <v>1687</v>
      </c>
      <c r="D1059" s="80" t="s">
        <v>1688</v>
      </c>
      <c r="E1059" s="16" t="s">
        <v>19</v>
      </c>
      <c r="F1059" s="107">
        <f>1663333/1000</f>
        <v>1663.3330000000001</v>
      </c>
      <c r="G1059" s="107">
        <f>1663333/1000</f>
        <v>1663.3330000000001</v>
      </c>
      <c r="H1059" s="107">
        <v>0</v>
      </c>
      <c r="I1059" s="107">
        <v>0</v>
      </c>
      <c r="J1059" s="107">
        <v>0</v>
      </c>
      <c r="K1059" s="16" t="s">
        <v>1635</v>
      </c>
    </row>
    <row r="1060" spans="1:11" s="81" customFormat="1" ht="26.4" x14ac:dyDescent="0.3">
      <c r="A1060" s="85">
        <v>974</v>
      </c>
      <c r="B1060" s="305"/>
      <c r="C1060" s="86" t="s">
        <v>1689</v>
      </c>
      <c r="D1060" s="80" t="s">
        <v>182</v>
      </c>
      <c r="E1060" s="16" t="s">
        <v>19</v>
      </c>
      <c r="F1060" s="107">
        <f>205000/1000</f>
        <v>205</v>
      </c>
      <c r="G1060" s="107">
        <f>205000/1000</f>
        <v>205</v>
      </c>
      <c r="H1060" s="107">
        <v>0</v>
      </c>
      <c r="I1060" s="107">
        <v>0</v>
      </c>
      <c r="J1060" s="107">
        <v>0</v>
      </c>
      <c r="K1060" s="16" t="s">
        <v>1635</v>
      </c>
    </row>
    <row r="1061" spans="1:11" s="81" customFormat="1" ht="26.4" x14ac:dyDescent="0.3">
      <c r="A1061" s="85">
        <v>975</v>
      </c>
      <c r="B1061" s="295"/>
      <c r="C1061" s="86" t="s">
        <v>1690</v>
      </c>
      <c r="D1061" s="80" t="s">
        <v>1691</v>
      </c>
      <c r="E1061" s="16" t="s">
        <v>19</v>
      </c>
      <c r="F1061" s="107">
        <f>1000000/1000</f>
        <v>1000</v>
      </c>
      <c r="G1061" s="107">
        <v>0</v>
      </c>
      <c r="H1061" s="107">
        <f>1000000/1000</f>
        <v>1000</v>
      </c>
      <c r="I1061" s="107">
        <v>0</v>
      </c>
      <c r="J1061" s="107">
        <v>0</v>
      </c>
      <c r="K1061" s="16" t="s">
        <v>1692</v>
      </c>
    </row>
    <row r="1062" spans="1:11" s="81" customFormat="1" x14ac:dyDescent="0.3">
      <c r="A1062" s="302" t="s">
        <v>1628</v>
      </c>
      <c r="B1062" s="303"/>
      <c r="C1062" s="304"/>
      <c r="D1062" s="68"/>
      <c r="E1062" s="65"/>
      <c r="F1062" s="192">
        <f>SUM(G1062:J1062)</f>
        <v>9737.8000499999998</v>
      </c>
      <c r="G1062" s="192">
        <f>SUM(G1057:G1061)</f>
        <v>4780.1753499999995</v>
      </c>
      <c r="H1062" s="192">
        <f>SUM(H1057:H1061)</f>
        <v>4957.6247000000003</v>
      </c>
      <c r="I1062" s="192">
        <f>SUM(I1057:I1057)</f>
        <v>0</v>
      </c>
      <c r="J1062" s="198">
        <f>SUM(J1057)</f>
        <v>0</v>
      </c>
      <c r="K1062" s="65"/>
    </row>
    <row r="1063" spans="1:11" s="81" customFormat="1" ht="26.4" x14ac:dyDescent="0.3">
      <c r="A1063" s="79">
        <v>976</v>
      </c>
      <c r="B1063" s="66" t="s">
        <v>1682</v>
      </c>
      <c r="C1063" s="18" t="s">
        <v>1693</v>
      </c>
      <c r="D1063" s="16" t="s">
        <v>1694</v>
      </c>
      <c r="E1063" s="16" t="s">
        <v>19</v>
      </c>
      <c r="F1063" s="107">
        <f>289500/1000</f>
        <v>289.5</v>
      </c>
      <c r="G1063" s="107">
        <v>0</v>
      </c>
      <c r="H1063" s="107">
        <v>0</v>
      </c>
      <c r="I1063" s="107">
        <f>289500/1000</f>
        <v>289.5</v>
      </c>
      <c r="J1063" s="107">
        <v>0</v>
      </c>
      <c r="K1063" s="16" t="s">
        <v>1695</v>
      </c>
    </row>
    <row r="1064" spans="1:11" s="81" customFormat="1" x14ac:dyDescent="0.3">
      <c r="A1064" s="319" t="s">
        <v>1675</v>
      </c>
      <c r="B1064" s="320"/>
      <c r="C1064" s="321"/>
      <c r="D1064" s="84"/>
      <c r="E1064" s="65"/>
      <c r="F1064" s="192">
        <f>SUM(G1064:J1064)</f>
        <v>289.5</v>
      </c>
      <c r="G1064" s="192">
        <f>SUM(G1063:G1063)</f>
        <v>0</v>
      </c>
      <c r="H1064" s="192">
        <f>SUM(H1063:H1063)</f>
        <v>0</v>
      </c>
      <c r="I1064" s="192">
        <f>SUM(I1063:I1063)</f>
        <v>289.5</v>
      </c>
      <c r="J1064" s="198">
        <f>SUM(J1063:J1063)</f>
        <v>0</v>
      </c>
      <c r="K1064" s="65"/>
    </row>
    <row r="1065" spans="1:11" s="68" customFormat="1" ht="26.4" x14ac:dyDescent="0.3">
      <c r="A1065" s="87">
        <v>977</v>
      </c>
      <c r="B1065" s="245" t="s">
        <v>1696</v>
      </c>
      <c r="C1065" s="18" t="s">
        <v>1697</v>
      </c>
      <c r="D1065" s="16" t="s">
        <v>1652</v>
      </c>
      <c r="E1065" s="16" t="s">
        <v>19</v>
      </c>
      <c r="F1065" s="107">
        <f>1094452/1000</f>
        <v>1094.452</v>
      </c>
      <c r="G1065" s="107">
        <f>1094452/1000</f>
        <v>1094.452</v>
      </c>
      <c r="H1065" s="107">
        <v>0</v>
      </c>
      <c r="I1065" s="107">
        <v>0</v>
      </c>
      <c r="J1065" s="107">
        <v>0</v>
      </c>
      <c r="K1065" s="16" t="s">
        <v>1632</v>
      </c>
    </row>
    <row r="1066" spans="1:11" s="68" customFormat="1" ht="39.6" x14ac:dyDescent="0.3">
      <c r="A1066" s="65">
        <v>978</v>
      </c>
      <c r="B1066" s="246"/>
      <c r="C1066" s="18" t="s">
        <v>1698</v>
      </c>
      <c r="D1066" s="16" t="s">
        <v>1699</v>
      </c>
      <c r="E1066" s="16" t="s">
        <v>19</v>
      </c>
      <c r="F1066" s="107">
        <f>266800/1000</f>
        <v>266.8</v>
      </c>
      <c r="G1066" s="107">
        <f>266800/1000</f>
        <v>266.8</v>
      </c>
      <c r="H1066" s="107">
        <v>0</v>
      </c>
      <c r="I1066" s="107">
        <v>0</v>
      </c>
      <c r="J1066" s="107">
        <v>0</v>
      </c>
      <c r="K1066" s="16" t="s">
        <v>1632</v>
      </c>
    </row>
    <row r="1067" spans="1:11" s="81" customFormat="1" x14ac:dyDescent="0.3">
      <c r="A1067" s="319" t="s">
        <v>1628</v>
      </c>
      <c r="B1067" s="320"/>
      <c r="C1067" s="321"/>
      <c r="D1067" s="68"/>
      <c r="E1067" s="65"/>
      <c r="F1067" s="192">
        <f>SUM(G1067:J1067)</f>
        <v>1361.252</v>
      </c>
      <c r="G1067" s="192">
        <f>SUM(G1065:G1066)</f>
        <v>1361.252</v>
      </c>
      <c r="H1067" s="192">
        <f>SUM(H1065:H1066)</f>
        <v>0</v>
      </c>
      <c r="I1067" s="192">
        <f>SUM(I1065:I1066)</f>
        <v>0</v>
      </c>
      <c r="J1067" s="198">
        <f>SUM(J1065:J1066)</f>
        <v>0</v>
      </c>
      <c r="K1067" s="65"/>
    </row>
    <row r="1068" spans="1:11" s="68" customFormat="1" ht="26.4" x14ac:dyDescent="0.3">
      <c r="A1068" s="65">
        <v>979</v>
      </c>
      <c r="B1068" s="66" t="s">
        <v>1696</v>
      </c>
      <c r="C1068" s="18" t="s">
        <v>1700</v>
      </c>
      <c r="D1068" s="16" t="s">
        <v>1652</v>
      </c>
      <c r="E1068" s="16" t="s">
        <v>19</v>
      </c>
      <c r="F1068" s="107">
        <f>2000000/1000</f>
        <v>2000</v>
      </c>
      <c r="G1068" s="107">
        <v>0</v>
      </c>
      <c r="H1068" s="107">
        <f>2000000/1000</f>
        <v>2000</v>
      </c>
      <c r="I1068" s="107">
        <v>0</v>
      </c>
      <c r="J1068" s="107">
        <v>0</v>
      </c>
      <c r="K1068" s="16" t="s">
        <v>1701</v>
      </c>
    </row>
    <row r="1069" spans="1:11" s="81" customFormat="1" x14ac:dyDescent="0.3">
      <c r="A1069" s="319" t="s">
        <v>1622</v>
      </c>
      <c r="B1069" s="320"/>
      <c r="C1069" s="321"/>
      <c r="D1069" s="16"/>
      <c r="E1069" s="65"/>
      <c r="F1069" s="192">
        <f>SUM(G1069:J1069)</f>
        <v>2000</v>
      </c>
      <c r="G1069" s="192">
        <f>SUM(G1068:G1068)</f>
        <v>0</v>
      </c>
      <c r="H1069" s="192">
        <f>SUM(H1068:H1068)</f>
        <v>2000</v>
      </c>
      <c r="I1069" s="192">
        <f>SUM(I1068:I1068)</f>
        <v>0</v>
      </c>
      <c r="J1069" s="198">
        <f>SUM(J1068:J1068)</f>
        <v>0</v>
      </c>
      <c r="K1069" s="65"/>
    </row>
    <row r="1070" spans="1:11" s="68" customFormat="1" ht="26.4" x14ac:dyDescent="0.3">
      <c r="A1070" s="65">
        <v>980</v>
      </c>
      <c r="B1070" s="66" t="s">
        <v>1696</v>
      </c>
      <c r="C1070" s="18" t="s">
        <v>1702</v>
      </c>
      <c r="D1070" s="16" t="s">
        <v>1652</v>
      </c>
      <c r="E1070" s="16" t="s">
        <v>19</v>
      </c>
      <c r="F1070" s="107">
        <f>2000000/1000</f>
        <v>2000</v>
      </c>
      <c r="G1070" s="107">
        <v>0</v>
      </c>
      <c r="H1070" s="107">
        <v>0</v>
      </c>
      <c r="I1070" s="107">
        <f>2000000/1000</f>
        <v>2000</v>
      </c>
      <c r="J1070" s="107">
        <v>0</v>
      </c>
      <c r="K1070" s="16" t="s">
        <v>1703</v>
      </c>
    </row>
    <row r="1071" spans="1:11" s="81" customFormat="1" x14ac:dyDescent="0.3">
      <c r="A1071" s="319" t="s">
        <v>1675</v>
      </c>
      <c r="B1071" s="320"/>
      <c r="C1071" s="321"/>
      <c r="D1071" s="84"/>
      <c r="E1071" s="65"/>
      <c r="F1071" s="192">
        <f t="shared" ref="F1071" si="81">SUM(G1071:J1071)</f>
        <v>2000</v>
      </c>
      <c r="G1071" s="192">
        <f>SUM(G1070:G1070)</f>
        <v>0</v>
      </c>
      <c r="H1071" s="192">
        <f>SUM(H1070:H1070)</f>
        <v>0</v>
      </c>
      <c r="I1071" s="192">
        <f>SUM(I1070:I1070)</f>
        <v>2000</v>
      </c>
      <c r="J1071" s="198">
        <f>SUM(J1070:J1070)</f>
        <v>0</v>
      </c>
      <c r="K1071" s="65"/>
    </row>
    <row r="1072" spans="1:11" s="68" customFormat="1" ht="26.4" x14ac:dyDescent="0.3">
      <c r="A1072" s="65">
        <v>981</v>
      </c>
      <c r="B1072" s="66" t="s">
        <v>1704</v>
      </c>
      <c r="C1072" s="18" t="s">
        <v>1705</v>
      </c>
      <c r="D1072" s="16" t="s">
        <v>1691</v>
      </c>
      <c r="E1072" s="16" t="s">
        <v>19</v>
      </c>
      <c r="F1072" s="107">
        <f>12346149/1000</f>
        <v>12346.148999999999</v>
      </c>
      <c r="G1072" s="107">
        <v>0</v>
      </c>
      <c r="H1072" s="107">
        <f>12346149/1000</f>
        <v>12346.148999999999</v>
      </c>
      <c r="I1072" s="107">
        <v>0</v>
      </c>
      <c r="J1072" s="107">
        <v>0</v>
      </c>
      <c r="K1072" s="16" t="s">
        <v>1692</v>
      </c>
    </row>
    <row r="1073" spans="1:11" s="81" customFormat="1" x14ac:dyDescent="0.3">
      <c r="A1073" s="319" t="s">
        <v>1628</v>
      </c>
      <c r="B1073" s="320"/>
      <c r="C1073" s="321"/>
      <c r="D1073" s="68"/>
      <c r="E1073" s="65"/>
      <c r="F1073" s="192">
        <f t="shared" ref="F1073" si="82">SUM(G1073:J1073)</f>
        <v>12346.148999999999</v>
      </c>
      <c r="G1073" s="192">
        <f>SUM(G1072:G1072)</f>
        <v>0</v>
      </c>
      <c r="H1073" s="192">
        <f>SUM(H1072:H1072)</f>
        <v>12346.148999999999</v>
      </c>
      <c r="I1073" s="192">
        <f>SUM(I1072:I1072)</f>
        <v>0</v>
      </c>
      <c r="J1073" s="198">
        <f>SUM(J1072:J1072)</f>
        <v>0</v>
      </c>
      <c r="K1073" s="65"/>
    </row>
    <row r="1074" spans="1:11" s="68" customFormat="1" ht="26.4" x14ac:dyDescent="0.3">
      <c r="A1074" s="65">
        <v>982</v>
      </c>
      <c r="B1074" s="66" t="s">
        <v>1704</v>
      </c>
      <c r="C1074" s="18" t="s">
        <v>1706</v>
      </c>
      <c r="D1074" s="16" t="s">
        <v>1691</v>
      </c>
      <c r="E1074" s="16" t="s">
        <v>19</v>
      </c>
      <c r="F1074" s="107">
        <f>14346149/1000</f>
        <v>14346.148999999999</v>
      </c>
      <c r="G1074" s="107">
        <v>0</v>
      </c>
      <c r="H1074" s="107">
        <v>0</v>
      </c>
      <c r="I1074" s="107">
        <f>14346149/1000</f>
        <v>14346.148999999999</v>
      </c>
      <c r="J1074" s="107">
        <v>0</v>
      </c>
      <c r="K1074" s="16" t="s">
        <v>1707</v>
      </c>
    </row>
    <row r="1075" spans="1:11" s="81" customFormat="1" x14ac:dyDescent="0.3">
      <c r="A1075" s="319" t="s">
        <v>1622</v>
      </c>
      <c r="B1075" s="320"/>
      <c r="C1075" s="321"/>
      <c r="D1075" s="16"/>
      <c r="E1075" s="65"/>
      <c r="F1075" s="192">
        <f>SUM(G1075:J1075)</f>
        <v>14346.148999999999</v>
      </c>
      <c r="G1075" s="192">
        <f>SUM(G1074:G1074)</f>
        <v>0</v>
      </c>
      <c r="H1075" s="192">
        <f>SUM(H1074:H1074)</f>
        <v>0</v>
      </c>
      <c r="I1075" s="192">
        <f>SUM(I1074:I1074)</f>
        <v>14346.148999999999</v>
      </c>
      <c r="J1075" s="198">
        <f>SUM(J1074:J1074)</f>
        <v>0</v>
      </c>
      <c r="K1075" s="65"/>
    </row>
    <row r="1076" spans="1:11" s="81" customFormat="1" ht="26.4" x14ac:dyDescent="0.3">
      <c r="A1076" s="85">
        <v>983</v>
      </c>
      <c r="B1076" s="66" t="s">
        <v>1708</v>
      </c>
      <c r="C1076" s="18" t="s">
        <v>1709</v>
      </c>
      <c r="D1076" s="16" t="s">
        <v>1710</v>
      </c>
      <c r="E1076" s="16" t="s">
        <v>19</v>
      </c>
      <c r="F1076" s="107">
        <f>134000/1000</f>
        <v>134</v>
      </c>
      <c r="G1076" s="107">
        <f>134000/1000</f>
        <v>134</v>
      </c>
      <c r="H1076" s="107">
        <v>0</v>
      </c>
      <c r="I1076" s="107">
        <v>0</v>
      </c>
      <c r="J1076" s="107">
        <v>0</v>
      </c>
      <c r="K1076" s="16" t="s">
        <v>1635</v>
      </c>
    </row>
    <row r="1077" spans="1:11" s="81" customFormat="1" x14ac:dyDescent="0.3">
      <c r="A1077" s="319" t="s">
        <v>1628</v>
      </c>
      <c r="B1077" s="320"/>
      <c r="C1077" s="321"/>
      <c r="D1077" s="68"/>
      <c r="E1077" s="65"/>
      <c r="F1077" s="192">
        <f>SUM(G1077:J1077)</f>
        <v>134</v>
      </c>
      <c r="G1077" s="192">
        <f>SUM(G1076:G1076)</f>
        <v>134</v>
      </c>
      <c r="H1077" s="192">
        <f>SUM(H1076:H1076)</f>
        <v>0</v>
      </c>
      <c r="I1077" s="192">
        <f>SUM(I1076:I1076)</f>
        <v>0</v>
      </c>
      <c r="J1077" s="198">
        <f>SUM(J1076:J1076)</f>
        <v>0</v>
      </c>
      <c r="K1077" s="65"/>
    </row>
    <row r="1078" spans="1:11" s="81" customFormat="1" ht="26.4" x14ac:dyDescent="0.3">
      <c r="A1078" s="79">
        <v>984</v>
      </c>
      <c r="B1078" s="66" t="s">
        <v>1708</v>
      </c>
      <c r="C1078" s="18" t="s">
        <v>1711</v>
      </c>
      <c r="D1078" s="16" t="s">
        <v>1668</v>
      </c>
      <c r="E1078" s="16" t="s">
        <v>19</v>
      </c>
      <c r="F1078" s="107">
        <f>1000000/1000</f>
        <v>1000</v>
      </c>
      <c r="G1078" s="107">
        <v>0</v>
      </c>
      <c r="H1078" s="107">
        <f>1000000/1000</f>
        <v>1000</v>
      </c>
      <c r="I1078" s="107">
        <v>0</v>
      </c>
      <c r="J1078" s="107">
        <v>0</v>
      </c>
      <c r="K1078" s="16" t="s">
        <v>1672</v>
      </c>
    </row>
    <row r="1079" spans="1:11" s="81" customFormat="1" x14ac:dyDescent="0.3">
      <c r="A1079" s="319" t="s">
        <v>1622</v>
      </c>
      <c r="B1079" s="320"/>
      <c r="C1079" s="321"/>
      <c r="D1079" s="16"/>
      <c r="E1079" s="65"/>
      <c r="F1079" s="192">
        <f>SUM(G1079:J1079)</f>
        <v>1000</v>
      </c>
      <c r="G1079" s="192">
        <f>SUM(G1078:G1078)</f>
        <v>0</v>
      </c>
      <c r="H1079" s="192">
        <f>SUM(H1078:H1078)</f>
        <v>1000</v>
      </c>
      <c r="I1079" s="192">
        <f>SUM(I1078:I1078)</f>
        <v>0</v>
      </c>
      <c r="J1079" s="198">
        <f>SUM(J1078:J1078)</f>
        <v>0</v>
      </c>
      <c r="K1079" s="65"/>
    </row>
    <row r="1080" spans="1:11" s="81" customFormat="1" ht="26.4" x14ac:dyDescent="0.3">
      <c r="A1080" s="79">
        <v>985</v>
      </c>
      <c r="B1080" s="66" t="s">
        <v>1708</v>
      </c>
      <c r="C1080" s="18" t="s">
        <v>1712</v>
      </c>
      <c r="D1080" s="16" t="s">
        <v>1713</v>
      </c>
      <c r="E1080" s="16" t="s">
        <v>19</v>
      </c>
      <c r="F1080" s="107">
        <f>1500000/1000</f>
        <v>1500</v>
      </c>
      <c r="G1080" s="107">
        <v>0</v>
      </c>
      <c r="H1080" s="107">
        <v>0</v>
      </c>
      <c r="I1080" s="107">
        <f>1500000/1000</f>
        <v>1500</v>
      </c>
      <c r="J1080" s="107">
        <v>0</v>
      </c>
      <c r="K1080" s="16" t="s">
        <v>1674</v>
      </c>
    </row>
    <row r="1081" spans="1:11" s="81" customFormat="1" x14ac:dyDescent="0.3">
      <c r="A1081" s="319" t="s">
        <v>1675</v>
      </c>
      <c r="B1081" s="320"/>
      <c r="C1081" s="321"/>
      <c r="D1081" s="84"/>
      <c r="E1081" s="65"/>
      <c r="F1081" s="192">
        <f>SUM(G1081:J1081)</f>
        <v>1500</v>
      </c>
      <c r="G1081" s="192">
        <f>SUM(G1080:G1080)</f>
        <v>0</v>
      </c>
      <c r="H1081" s="192">
        <f>SUM(H1080:H1080)</f>
        <v>0</v>
      </c>
      <c r="I1081" s="192">
        <f>SUM(I1080:I1080)</f>
        <v>1500</v>
      </c>
      <c r="J1081" s="192">
        <f>SUM(J1080:J1080)</f>
        <v>0</v>
      </c>
      <c r="K1081" s="65"/>
    </row>
    <row r="1082" spans="1:11" s="68" customFormat="1" ht="26.4" x14ac:dyDescent="0.3">
      <c r="A1082" s="87">
        <v>986</v>
      </c>
      <c r="B1082" s="66" t="s">
        <v>1714</v>
      </c>
      <c r="C1082" s="18" t="s">
        <v>1715</v>
      </c>
      <c r="D1082" s="16" t="s">
        <v>1716</v>
      </c>
      <c r="E1082" s="16" t="s">
        <v>19</v>
      </c>
      <c r="F1082" s="107">
        <f>5000000/1000</f>
        <v>5000</v>
      </c>
      <c r="G1082" s="107">
        <f>5000000/1000</f>
        <v>5000</v>
      </c>
      <c r="H1082" s="107">
        <v>0</v>
      </c>
      <c r="I1082" s="107">
        <v>0</v>
      </c>
      <c r="J1082" s="107">
        <v>0</v>
      </c>
      <c r="K1082" s="16" t="s">
        <v>1632</v>
      </c>
    </row>
    <row r="1083" spans="1:11" s="81" customFormat="1" x14ac:dyDescent="0.3">
      <c r="A1083" s="319" t="s">
        <v>1628</v>
      </c>
      <c r="B1083" s="320"/>
      <c r="C1083" s="321"/>
      <c r="D1083" s="68"/>
      <c r="E1083" s="65"/>
      <c r="F1083" s="192">
        <f t="shared" ref="F1083" si="83">SUM(G1083:J1083)</f>
        <v>5000</v>
      </c>
      <c r="G1083" s="192">
        <f>SUM(G1082:G1082)</f>
        <v>5000</v>
      </c>
      <c r="H1083" s="192">
        <f>SUM(H1082:H1082)</f>
        <v>0</v>
      </c>
      <c r="I1083" s="192">
        <f>SUM(I1082:I1082)</f>
        <v>0</v>
      </c>
      <c r="J1083" s="198">
        <f>SUM(J1082:J1082)</f>
        <v>0</v>
      </c>
      <c r="K1083" s="65"/>
    </row>
    <row r="1084" spans="1:11" s="68" customFormat="1" ht="26.4" x14ac:dyDescent="0.3">
      <c r="A1084" s="65">
        <v>987</v>
      </c>
      <c r="B1084" s="66" t="s">
        <v>1714</v>
      </c>
      <c r="C1084" s="18" t="s">
        <v>1717</v>
      </c>
      <c r="D1084" s="16" t="s">
        <v>1718</v>
      </c>
      <c r="E1084" s="16" t="s">
        <v>19</v>
      </c>
      <c r="F1084" s="107">
        <f>15641530.72/1000</f>
        <v>15641.530720000001</v>
      </c>
      <c r="G1084" s="107">
        <v>0</v>
      </c>
      <c r="H1084" s="107">
        <f>15641530.72/1000</f>
        <v>15641.530720000001</v>
      </c>
      <c r="I1084" s="107">
        <v>0</v>
      </c>
      <c r="J1084" s="107">
        <v>0</v>
      </c>
      <c r="K1084" s="16" t="s">
        <v>1680</v>
      </c>
    </row>
    <row r="1085" spans="1:11" s="81" customFormat="1" x14ac:dyDescent="0.3">
      <c r="A1085" s="319" t="s">
        <v>1622</v>
      </c>
      <c r="B1085" s="320"/>
      <c r="C1085" s="321"/>
      <c r="D1085" s="16"/>
      <c r="E1085" s="65"/>
      <c r="F1085" s="192">
        <f>SUM(G1085:J1085)</f>
        <v>15641.530720000001</v>
      </c>
      <c r="G1085" s="192">
        <f>SUM(G1084:G1084)</f>
        <v>0</v>
      </c>
      <c r="H1085" s="192">
        <f>SUM(H1084:H1084)</f>
        <v>15641.530720000001</v>
      </c>
      <c r="I1085" s="192">
        <f>SUM(I1084:I1084)</f>
        <v>0</v>
      </c>
      <c r="J1085" s="198">
        <f>SUM(J1084:J1084)</f>
        <v>0</v>
      </c>
      <c r="K1085" s="65"/>
    </row>
    <row r="1086" spans="1:11" s="68" customFormat="1" ht="26.4" x14ac:dyDescent="0.3">
      <c r="A1086" s="65">
        <v>988</v>
      </c>
      <c r="B1086" s="66" t="s">
        <v>1714</v>
      </c>
      <c r="C1086" s="18" t="s">
        <v>1719</v>
      </c>
      <c r="D1086" s="16" t="s">
        <v>1720</v>
      </c>
      <c r="E1086" s="16" t="s">
        <v>19</v>
      </c>
      <c r="F1086" s="107">
        <f>15641530.72/1000</f>
        <v>15641.530720000001</v>
      </c>
      <c r="G1086" s="107">
        <v>0</v>
      </c>
      <c r="H1086" s="107">
        <v>0</v>
      </c>
      <c r="I1086" s="107">
        <f>15641530.72/1000</f>
        <v>15641.530720000001</v>
      </c>
      <c r="J1086" s="107">
        <v>0</v>
      </c>
      <c r="K1086" s="16" t="s">
        <v>1649</v>
      </c>
    </row>
    <row r="1087" spans="1:11" s="81" customFormat="1" x14ac:dyDescent="0.3">
      <c r="A1087" s="319" t="s">
        <v>1675</v>
      </c>
      <c r="B1087" s="320"/>
      <c r="C1087" s="321"/>
      <c r="D1087" s="84"/>
      <c r="E1087" s="65"/>
      <c r="F1087" s="192">
        <f t="shared" ref="F1087" si="84">SUM(G1087:J1087)</f>
        <v>15641.530720000001</v>
      </c>
      <c r="G1087" s="192">
        <f>SUM(G1086:G1086)</f>
        <v>0</v>
      </c>
      <c r="H1087" s="192">
        <f>SUM(H1086:H1086)</f>
        <v>0</v>
      </c>
      <c r="I1087" s="192">
        <f>SUM(I1086:I1086)</f>
        <v>15641.530720000001</v>
      </c>
      <c r="J1087" s="198">
        <f>SUM(J1086:J1086)</f>
        <v>0</v>
      </c>
      <c r="K1087" s="65"/>
    </row>
    <row r="1088" spans="1:11" s="68" customFormat="1" ht="26.4" x14ac:dyDescent="0.3">
      <c r="A1088" s="65">
        <v>989</v>
      </c>
      <c r="B1088" s="66" t="s">
        <v>1721</v>
      </c>
      <c r="C1088" s="18" t="s">
        <v>1722</v>
      </c>
      <c r="D1088" s="16" t="s">
        <v>1723</v>
      </c>
      <c r="E1088" s="16" t="s">
        <v>19</v>
      </c>
      <c r="F1088" s="107">
        <f>1700000/1000</f>
        <v>1700</v>
      </c>
      <c r="G1088" s="107">
        <v>0</v>
      </c>
      <c r="H1088" s="107">
        <f>850000/1000</f>
        <v>850</v>
      </c>
      <c r="I1088" s="107">
        <f>850000/1000</f>
        <v>850</v>
      </c>
      <c r="J1088" s="107">
        <v>0</v>
      </c>
      <c r="K1088" s="16" t="s">
        <v>1692</v>
      </c>
    </row>
    <row r="1089" spans="1:11" s="81" customFormat="1" x14ac:dyDescent="0.3">
      <c r="A1089" s="331" t="s">
        <v>1628</v>
      </c>
      <c r="B1089" s="332"/>
      <c r="C1089" s="333"/>
      <c r="D1089" s="68"/>
      <c r="E1089" s="65"/>
      <c r="F1089" s="192">
        <f>SUM(G1089:J1089)</f>
        <v>1700</v>
      </c>
      <c r="G1089" s="192">
        <f>SUM(G1088:G1088)</f>
        <v>0</v>
      </c>
      <c r="H1089" s="192">
        <f>SUM(H1088:H1088)</f>
        <v>850</v>
      </c>
      <c r="I1089" s="192">
        <f>SUM(I1088:I1088)</f>
        <v>850</v>
      </c>
      <c r="J1089" s="198">
        <f>SUM(J1088:J1088)</f>
        <v>0</v>
      </c>
      <c r="K1089" s="65"/>
    </row>
    <row r="1090" spans="1:11" s="68" customFormat="1" ht="26.4" x14ac:dyDescent="0.3">
      <c r="A1090" s="65">
        <v>990</v>
      </c>
      <c r="B1090" s="66" t="s">
        <v>1721</v>
      </c>
      <c r="C1090" s="18" t="s">
        <v>1724</v>
      </c>
      <c r="D1090" s="16" t="s">
        <v>137</v>
      </c>
      <c r="E1090" s="16" t="s">
        <v>19</v>
      </c>
      <c r="F1090" s="107">
        <f>2705594.23/1000</f>
        <v>2705.5942300000002</v>
      </c>
      <c r="G1090" s="107">
        <v>0</v>
      </c>
      <c r="H1090" s="107">
        <v>0</v>
      </c>
      <c r="I1090" s="107">
        <f>2705594.23/1000</f>
        <v>2705.5942300000002</v>
      </c>
      <c r="J1090" s="107">
        <v>0</v>
      </c>
      <c r="K1090" s="16" t="s">
        <v>1725</v>
      </c>
    </row>
    <row r="1091" spans="1:11" s="81" customFormat="1" x14ac:dyDescent="0.3">
      <c r="A1091" s="319" t="s">
        <v>1675</v>
      </c>
      <c r="B1091" s="320"/>
      <c r="C1091" s="321"/>
      <c r="D1091" s="84"/>
      <c r="E1091" s="65"/>
      <c r="F1091" s="192">
        <f t="shared" ref="F1091" si="85">SUM(G1091:J1091)</f>
        <v>2705.5942300000002</v>
      </c>
      <c r="G1091" s="192">
        <f>SUM(G1090:G1090)</f>
        <v>0</v>
      </c>
      <c r="H1091" s="192">
        <f>SUM(H1090:H1090)</f>
        <v>0</v>
      </c>
      <c r="I1091" s="192">
        <f>SUM(I1090:I1090)</f>
        <v>2705.5942300000002</v>
      </c>
      <c r="J1091" s="192">
        <f>SUM(J1090:J1090)</f>
        <v>0</v>
      </c>
      <c r="K1091" s="65"/>
    </row>
    <row r="1092" spans="1:11" s="81" customFormat="1" ht="52.8" x14ac:dyDescent="0.3">
      <c r="A1092" s="65">
        <v>991</v>
      </c>
      <c r="B1092" s="245" t="s">
        <v>1726</v>
      </c>
      <c r="C1092" s="18" t="s">
        <v>1727</v>
      </c>
      <c r="D1092" s="80" t="s">
        <v>1728</v>
      </c>
      <c r="E1092" s="16" t="s">
        <v>19</v>
      </c>
      <c r="F1092" s="107">
        <f>2556800/1000</f>
        <v>2556.8000000000002</v>
      </c>
      <c r="G1092" s="107">
        <f>2556800/1000</f>
        <v>2556.8000000000002</v>
      </c>
      <c r="H1092" s="107">
        <v>0</v>
      </c>
      <c r="I1092" s="107">
        <v>0</v>
      </c>
      <c r="J1092" s="107">
        <v>0</v>
      </c>
      <c r="K1092" s="16" t="s">
        <v>1632</v>
      </c>
    </row>
    <row r="1093" spans="1:11" s="81" customFormat="1" ht="26.4" x14ac:dyDescent="0.3">
      <c r="A1093" s="65">
        <f>A1092+1</f>
        <v>992</v>
      </c>
      <c r="B1093" s="315"/>
      <c r="C1093" s="18" t="s">
        <v>1729</v>
      </c>
      <c r="D1093" s="80" t="s">
        <v>1656</v>
      </c>
      <c r="E1093" s="16" t="s">
        <v>19</v>
      </c>
      <c r="F1093" s="107">
        <f>120000/1000</f>
        <v>120</v>
      </c>
      <c r="G1093" s="107">
        <f>120000/1000</f>
        <v>120</v>
      </c>
      <c r="H1093" s="107">
        <v>0</v>
      </c>
      <c r="I1093" s="107">
        <v>0</v>
      </c>
      <c r="J1093" s="107">
        <v>0</v>
      </c>
      <c r="K1093" s="16" t="s">
        <v>1635</v>
      </c>
    </row>
    <row r="1094" spans="1:11" s="81" customFormat="1" ht="26.4" x14ac:dyDescent="0.3">
      <c r="A1094" s="65">
        <f t="shared" ref="A1094:A1099" si="86">A1093+1</f>
        <v>993</v>
      </c>
      <c r="B1094" s="315"/>
      <c r="C1094" s="18" t="s">
        <v>1730</v>
      </c>
      <c r="D1094" s="80" t="s">
        <v>182</v>
      </c>
      <c r="E1094" s="16" t="s">
        <v>19</v>
      </c>
      <c r="F1094" s="107">
        <f>122500/1000</f>
        <v>122.5</v>
      </c>
      <c r="G1094" s="107">
        <f>122500/1000</f>
        <v>122.5</v>
      </c>
      <c r="H1094" s="107">
        <v>0</v>
      </c>
      <c r="I1094" s="107">
        <v>0</v>
      </c>
      <c r="J1094" s="107">
        <v>0</v>
      </c>
      <c r="K1094" s="16" t="s">
        <v>1635</v>
      </c>
    </row>
    <row r="1095" spans="1:11" s="81" customFormat="1" ht="26.4" x14ac:dyDescent="0.3">
      <c r="A1095" s="65">
        <f t="shared" si="86"/>
        <v>994</v>
      </c>
      <c r="B1095" s="315"/>
      <c r="C1095" s="18" t="s">
        <v>1731</v>
      </c>
      <c r="D1095" s="80" t="s">
        <v>1652</v>
      </c>
      <c r="E1095" s="16" t="s">
        <v>19</v>
      </c>
      <c r="F1095" s="107">
        <f>646500/1000</f>
        <v>646.5</v>
      </c>
      <c r="G1095" s="107">
        <f>646500/1000</f>
        <v>646.5</v>
      </c>
      <c r="H1095" s="107">
        <v>0</v>
      </c>
      <c r="I1095" s="107">
        <v>0</v>
      </c>
      <c r="J1095" s="107">
        <v>0</v>
      </c>
      <c r="K1095" s="16" t="s">
        <v>1635</v>
      </c>
    </row>
    <row r="1096" spans="1:11" s="81" customFormat="1" ht="26.4" x14ac:dyDescent="0.3">
      <c r="A1096" s="65">
        <f t="shared" si="86"/>
        <v>995</v>
      </c>
      <c r="B1096" s="315"/>
      <c r="C1096" s="18" t="s">
        <v>1732</v>
      </c>
      <c r="D1096" s="80" t="s">
        <v>1656</v>
      </c>
      <c r="E1096" s="16" t="s">
        <v>19</v>
      </c>
      <c r="F1096" s="107">
        <f>2190000/1000</f>
        <v>2190</v>
      </c>
      <c r="G1096" s="107">
        <v>0</v>
      </c>
      <c r="H1096" s="107">
        <f>1095000/1000</f>
        <v>1095</v>
      </c>
      <c r="I1096" s="107">
        <f>1095000/1000</f>
        <v>1095</v>
      </c>
      <c r="J1096" s="107">
        <v>0</v>
      </c>
      <c r="K1096" s="16" t="s">
        <v>1635</v>
      </c>
    </row>
    <row r="1097" spans="1:11" s="81" customFormat="1" ht="26.4" x14ac:dyDescent="0.3">
      <c r="A1097" s="65">
        <f t="shared" si="86"/>
        <v>996</v>
      </c>
      <c r="B1097" s="315"/>
      <c r="C1097" s="18" t="s">
        <v>1733</v>
      </c>
      <c r="D1097" s="80" t="s">
        <v>1668</v>
      </c>
      <c r="E1097" s="16" t="s">
        <v>19</v>
      </c>
      <c r="F1097" s="107">
        <f>18000000/1000</f>
        <v>18000</v>
      </c>
      <c r="G1097" s="107">
        <v>0</v>
      </c>
      <c r="H1097" s="107">
        <f>9000000/1000</f>
        <v>9000</v>
      </c>
      <c r="I1097" s="107">
        <f>9000000/1000</f>
        <v>9000</v>
      </c>
      <c r="J1097" s="107">
        <v>0</v>
      </c>
      <c r="K1097" s="16" t="s">
        <v>1635</v>
      </c>
    </row>
    <row r="1098" spans="1:11" s="81" customFormat="1" ht="26.4" x14ac:dyDescent="0.3">
      <c r="A1098" s="65">
        <f t="shared" si="86"/>
        <v>997</v>
      </c>
      <c r="B1098" s="315"/>
      <c r="C1098" s="18" t="s">
        <v>1734</v>
      </c>
      <c r="D1098" s="80" t="s">
        <v>1691</v>
      </c>
      <c r="E1098" s="16" t="s">
        <v>19</v>
      </c>
      <c r="F1098" s="107">
        <f>25000000/1000</f>
        <v>25000</v>
      </c>
      <c r="G1098" s="107">
        <v>0</v>
      </c>
      <c r="H1098" s="107">
        <f>7000000/1000</f>
        <v>7000</v>
      </c>
      <c r="I1098" s="107">
        <f>18000000/1000</f>
        <v>18000</v>
      </c>
      <c r="J1098" s="107">
        <v>0</v>
      </c>
      <c r="K1098" s="16" t="s">
        <v>1635</v>
      </c>
    </row>
    <row r="1099" spans="1:11" s="81" customFormat="1" ht="26.4" x14ac:dyDescent="0.3">
      <c r="A1099" s="65">
        <f t="shared" si="86"/>
        <v>998</v>
      </c>
      <c r="B1099" s="246"/>
      <c r="C1099" s="18" t="s">
        <v>1735</v>
      </c>
      <c r="D1099" s="80" t="s">
        <v>1652</v>
      </c>
      <c r="E1099" s="16" t="s">
        <v>19</v>
      </c>
      <c r="F1099" s="107">
        <f>215000/1000</f>
        <v>215</v>
      </c>
      <c r="G1099" s="107">
        <f>215000/1000</f>
        <v>215</v>
      </c>
      <c r="H1099" s="107">
        <v>0</v>
      </c>
      <c r="I1099" s="107">
        <v>0</v>
      </c>
      <c r="J1099" s="107">
        <v>0</v>
      </c>
      <c r="K1099" s="16" t="s">
        <v>1635</v>
      </c>
    </row>
    <row r="1100" spans="1:11" s="81" customFormat="1" x14ac:dyDescent="0.3">
      <c r="A1100" s="319" t="s">
        <v>1628</v>
      </c>
      <c r="B1100" s="320"/>
      <c r="C1100" s="321"/>
      <c r="D1100" s="68"/>
      <c r="E1100" s="65"/>
      <c r="F1100" s="192">
        <f>SUM(G1100:J1100)</f>
        <v>48850.8</v>
      </c>
      <c r="G1100" s="192">
        <f>SUM(G1092:G1099)</f>
        <v>3660.8</v>
      </c>
      <c r="H1100" s="192">
        <f t="shared" ref="H1100:I1100" si="87">SUM(H1092:H1099)</f>
        <v>17095</v>
      </c>
      <c r="I1100" s="192">
        <f t="shared" si="87"/>
        <v>28095</v>
      </c>
      <c r="J1100" s="192">
        <f>SUM(J1099:J1099)</f>
        <v>0</v>
      </c>
      <c r="K1100" s="65"/>
    </row>
    <row r="1101" spans="1:11" s="81" customFormat="1" ht="26.4" x14ac:dyDescent="0.3">
      <c r="A1101" s="79">
        <v>999</v>
      </c>
      <c r="B1101" s="66" t="s">
        <v>1736</v>
      </c>
      <c r="C1101" s="18" t="s">
        <v>1737</v>
      </c>
      <c r="D1101" s="16" t="s">
        <v>1738</v>
      </c>
      <c r="E1101" s="16" t="s">
        <v>19</v>
      </c>
      <c r="F1101" s="107">
        <f>2386164.96/1000</f>
        <v>2386.1649600000001</v>
      </c>
      <c r="G1101" s="107">
        <f>2386164.96/1000</f>
        <v>2386.1649600000001</v>
      </c>
      <c r="H1101" s="107">
        <v>0</v>
      </c>
      <c r="I1101" s="107">
        <v>0</v>
      </c>
      <c r="J1101" s="107">
        <v>0</v>
      </c>
      <c r="K1101" s="16" t="s">
        <v>1635</v>
      </c>
    </row>
    <row r="1102" spans="1:11" s="81" customFormat="1" x14ac:dyDescent="0.3">
      <c r="A1102" s="319" t="s">
        <v>1628</v>
      </c>
      <c r="B1102" s="320"/>
      <c r="C1102" s="321"/>
      <c r="D1102" s="68"/>
      <c r="E1102" s="65"/>
      <c r="F1102" s="192">
        <f>SUM(G1102:J1102)</f>
        <v>2386.1649600000001</v>
      </c>
      <c r="G1102" s="192">
        <f>SUM(G1101)</f>
        <v>2386.1649600000001</v>
      </c>
      <c r="H1102" s="192">
        <f>SUM(H1090:H1090)</f>
        <v>0</v>
      </c>
      <c r="I1102" s="192">
        <f>SUM(I1101)</f>
        <v>0</v>
      </c>
      <c r="J1102" s="192">
        <f>SUM(J1090:J1090)</f>
        <v>0</v>
      </c>
      <c r="K1102" s="65"/>
    </row>
    <row r="1103" spans="1:11" s="81" customFormat="1" ht="26.4" x14ac:dyDescent="0.3">
      <c r="A1103" s="79">
        <v>1000</v>
      </c>
      <c r="B1103" s="245" t="s">
        <v>1736</v>
      </c>
      <c r="C1103" s="18" t="s">
        <v>1739</v>
      </c>
      <c r="D1103" s="16" t="s">
        <v>1738</v>
      </c>
      <c r="E1103" s="16" t="s">
        <v>19</v>
      </c>
      <c r="F1103" s="107">
        <f>3408664.96/1000</f>
        <v>3408.6649600000001</v>
      </c>
      <c r="G1103" s="107">
        <v>0</v>
      </c>
      <c r="H1103" s="107">
        <f>3408664.96/1000</f>
        <v>3408.6649600000001</v>
      </c>
      <c r="I1103" s="107">
        <v>0</v>
      </c>
      <c r="J1103" s="107">
        <v>0</v>
      </c>
      <c r="K1103" s="16" t="s">
        <v>1672</v>
      </c>
    </row>
    <row r="1104" spans="1:11" s="81" customFormat="1" ht="26.4" x14ac:dyDescent="0.3">
      <c r="A1104" s="79">
        <v>1001</v>
      </c>
      <c r="B1104" s="246"/>
      <c r="C1104" s="18" t="s">
        <v>1740</v>
      </c>
      <c r="D1104" s="16" t="s">
        <v>1691</v>
      </c>
      <c r="E1104" s="16" t="s">
        <v>19</v>
      </c>
      <c r="F1104" s="107">
        <f>18761058.72/1000</f>
        <v>18761.058719999997</v>
      </c>
      <c r="G1104" s="107">
        <v>0</v>
      </c>
      <c r="H1104" s="107">
        <f>18761058.72/1000</f>
        <v>18761.058719999997</v>
      </c>
      <c r="I1104" s="107">
        <v>0</v>
      </c>
      <c r="J1104" s="107">
        <v>0</v>
      </c>
      <c r="K1104" s="16" t="s">
        <v>1672</v>
      </c>
    </row>
    <row r="1105" spans="1:11" s="81" customFormat="1" x14ac:dyDescent="0.3">
      <c r="A1105" s="319" t="s">
        <v>1622</v>
      </c>
      <c r="B1105" s="320"/>
      <c r="C1105" s="321"/>
      <c r="D1105" s="16"/>
      <c r="E1105" s="65"/>
      <c r="F1105" s="192">
        <f>SUM(F1103:F1104)</f>
        <v>22169.723679999996</v>
      </c>
      <c r="G1105" s="192">
        <f>SUM(G1103)</f>
        <v>0</v>
      </c>
      <c r="H1105" s="192">
        <f>SUM(H1103:H1104)</f>
        <v>22169.723679999996</v>
      </c>
      <c r="I1105" s="192">
        <f t="shared" ref="I1105:J1105" si="88">SUM(I1102:I1103)</f>
        <v>0</v>
      </c>
      <c r="J1105" s="192">
        <f t="shared" si="88"/>
        <v>0</v>
      </c>
      <c r="K1105" s="65"/>
    </row>
    <row r="1106" spans="1:11" s="81" customFormat="1" ht="26.4" x14ac:dyDescent="0.3">
      <c r="A1106" s="79">
        <v>1002</v>
      </c>
      <c r="B1106" s="245" t="s">
        <v>1736</v>
      </c>
      <c r="C1106" s="18" t="s">
        <v>1741</v>
      </c>
      <c r="D1106" s="16" t="s">
        <v>1738</v>
      </c>
      <c r="E1106" s="16" t="s">
        <v>19</v>
      </c>
      <c r="F1106" s="107">
        <f>3408664.96/1000</f>
        <v>3408.6649600000001</v>
      </c>
      <c r="G1106" s="107">
        <v>0</v>
      </c>
      <c r="H1106" s="107">
        <v>0</v>
      </c>
      <c r="I1106" s="107">
        <f>3408664.96/1000</f>
        <v>3408.6649600000001</v>
      </c>
      <c r="J1106" s="107">
        <v>0</v>
      </c>
      <c r="K1106" s="16" t="s">
        <v>1674</v>
      </c>
    </row>
    <row r="1107" spans="1:11" s="81" customFormat="1" ht="26.4" x14ac:dyDescent="0.3">
      <c r="A1107" s="79">
        <v>1003</v>
      </c>
      <c r="B1107" s="246"/>
      <c r="C1107" s="18" t="s">
        <v>1742</v>
      </c>
      <c r="D1107" s="88" t="s">
        <v>1691</v>
      </c>
      <c r="E1107" s="16" t="s">
        <v>19</v>
      </c>
      <c r="F1107" s="107">
        <f>18761058.72/1000</f>
        <v>18761.058719999997</v>
      </c>
      <c r="G1107" s="107">
        <v>0</v>
      </c>
      <c r="H1107" s="107">
        <v>0</v>
      </c>
      <c r="I1107" s="107">
        <f>18761058.72/1000</f>
        <v>18761.058719999997</v>
      </c>
      <c r="J1107" s="107">
        <v>0</v>
      </c>
      <c r="K1107" s="16" t="s">
        <v>1674</v>
      </c>
    </row>
    <row r="1108" spans="1:11" s="81" customFormat="1" x14ac:dyDescent="0.3">
      <c r="A1108" s="319" t="s">
        <v>1675</v>
      </c>
      <c r="B1108" s="320"/>
      <c r="C1108" s="321"/>
      <c r="D1108" s="84"/>
      <c r="E1108" s="65"/>
      <c r="F1108" s="192">
        <f>SUM(F1106:F1107)</f>
        <v>22169.723679999996</v>
      </c>
      <c r="G1108" s="192">
        <f>SUM(G1105:G1106)</f>
        <v>0</v>
      </c>
      <c r="H1108" s="192">
        <f>SUM(H1106)</f>
        <v>0</v>
      </c>
      <c r="I1108" s="192">
        <f>SUM(I1106:I1107)</f>
        <v>22169.723679999996</v>
      </c>
      <c r="J1108" s="198">
        <f t="shared" ref="J1108" si="89">SUM(J1105:J1106)</f>
        <v>0</v>
      </c>
      <c r="K1108" s="65"/>
    </row>
    <row r="1109" spans="1:11" s="81" customFormat="1" ht="26.4" x14ac:dyDescent="0.3">
      <c r="A1109" s="79">
        <v>1004</v>
      </c>
      <c r="B1109" s="245" t="s">
        <v>1743</v>
      </c>
      <c r="C1109" s="18" t="s">
        <v>1744</v>
      </c>
      <c r="D1109" s="80" t="s">
        <v>1652</v>
      </c>
      <c r="E1109" s="16" t="s">
        <v>19</v>
      </c>
      <c r="F1109" s="107">
        <f>391175/1000</f>
        <v>391.17500000000001</v>
      </c>
      <c r="G1109" s="107">
        <f>391175/1000</f>
        <v>391.17500000000001</v>
      </c>
      <c r="H1109" s="107">
        <v>0</v>
      </c>
      <c r="I1109" s="107">
        <v>0</v>
      </c>
      <c r="J1109" s="107">
        <v>0</v>
      </c>
      <c r="K1109" s="16" t="s">
        <v>1635</v>
      </c>
    </row>
    <row r="1110" spans="1:11" s="81" customFormat="1" ht="26.4" x14ac:dyDescent="0.3">
      <c r="A1110" s="79">
        <v>1005</v>
      </c>
      <c r="B1110" s="246"/>
      <c r="C1110" s="18" t="s">
        <v>1745</v>
      </c>
      <c r="D1110" s="80" t="s">
        <v>1652</v>
      </c>
      <c r="E1110" s="16" t="s">
        <v>19</v>
      </c>
      <c r="F1110" s="107">
        <f>503000/1000</f>
        <v>503</v>
      </c>
      <c r="G1110" s="107">
        <f>503000/1000</f>
        <v>503</v>
      </c>
      <c r="H1110" s="107">
        <v>0</v>
      </c>
      <c r="I1110" s="107">
        <v>0</v>
      </c>
      <c r="J1110" s="107">
        <v>0</v>
      </c>
      <c r="K1110" s="16" t="s">
        <v>1635</v>
      </c>
    </row>
    <row r="1111" spans="1:11" s="81" customFormat="1" x14ac:dyDescent="0.3">
      <c r="A1111" s="319" t="s">
        <v>1628</v>
      </c>
      <c r="B1111" s="320"/>
      <c r="C1111" s="321"/>
      <c r="D1111" s="89"/>
      <c r="E1111" s="65"/>
      <c r="F1111" s="192">
        <f>SUM(G1111:J1111)</f>
        <v>894.17499999999995</v>
      </c>
      <c r="G1111" s="192">
        <f>SUM(G1109:G1110)</f>
        <v>894.17499999999995</v>
      </c>
      <c r="H1111" s="192">
        <f>SUM(H1109)</f>
        <v>0</v>
      </c>
      <c r="I1111" s="192">
        <f>SUM(I1109)</f>
        <v>0</v>
      </c>
      <c r="J1111" s="198">
        <f>SUM(J1105:J1106)</f>
        <v>0</v>
      </c>
      <c r="K1111" s="65"/>
    </row>
    <row r="1112" spans="1:11" s="81" customFormat="1" ht="26.4" x14ac:dyDescent="0.3">
      <c r="A1112" s="136">
        <v>1006</v>
      </c>
      <c r="B1112" s="66" t="s">
        <v>1743</v>
      </c>
      <c r="C1112" s="18" t="s">
        <v>1746</v>
      </c>
      <c r="D1112" s="80" t="s">
        <v>1691</v>
      </c>
      <c r="E1112" s="16" t="s">
        <v>19</v>
      </c>
      <c r="F1112" s="107">
        <f>20423433/1000</f>
        <v>20423.433000000001</v>
      </c>
      <c r="G1112" s="107">
        <v>0</v>
      </c>
      <c r="H1112" s="107">
        <f>20423433/1000</f>
        <v>20423.433000000001</v>
      </c>
      <c r="I1112" s="107">
        <v>0</v>
      </c>
      <c r="J1112" s="107">
        <v>0</v>
      </c>
      <c r="K1112" s="16" t="s">
        <v>1747</v>
      </c>
    </row>
    <row r="1113" spans="1:11" s="81" customFormat="1" x14ac:dyDescent="0.3">
      <c r="A1113" s="319" t="s">
        <v>1622</v>
      </c>
      <c r="B1113" s="320"/>
      <c r="C1113" s="321"/>
      <c r="D1113" s="80"/>
      <c r="E1113" s="65"/>
      <c r="F1113" s="192">
        <f>SUM(G1113:J1113)</f>
        <v>20423.433000000001</v>
      </c>
      <c r="G1113" s="192">
        <f>SUM(G1112)</f>
        <v>0</v>
      </c>
      <c r="H1113" s="192">
        <f t="shared" ref="H1113:J1113" si="90">SUM(H1111:H1112)</f>
        <v>20423.433000000001</v>
      </c>
      <c r="I1113" s="198">
        <f t="shared" si="90"/>
        <v>0</v>
      </c>
      <c r="J1113" s="198">
        <f t="shared" si="90"/>
        <v>0</v>
      </c>
      <c r="K1113" s="65"/>
    </row>
    <row r="1114" spans="1:11" s="81" customFormat="1" ht="26.4" x14ac:dyDescent="0.3">
      <c r="A1114" s="79">
        <v>1007</v>
      </c>
      <c r="B1114" s="66" t="s">
        <v>1743</v>
      </c>
      <c r="C1114" s="18" t="s">
        <v>1748</v>
      </c>
      <c r="D1114" s="80" t="s">
        <v>1691</v>
      </c>
      <c r="E1114" s="16" t="s">
        <v>19</v>
      </c>
      <c r="F1114" s="107">
        <f>20423433/1000</f>
        <v>20423.433000000001</v>
      </c>
      <c r="G1114" s="107">
        <v>0</v>
      </c>
      <c r="H1114" s="107">
        <v>0</v>
      </c>
      <c r="I1114" s="107">
        <f>20423433/1000</f>
        <v>20423.433000000001</v>
      </c>
      <c r="J1114" s="107">
        <v>0</v>
      </c>
      <c r="K1114" s="16" t="s">
        <v>1725</v>
      </c>
    </row>
    <row r="1115" spans="1:11" s="81" customFormat="1" x14ac:dyDescent="0.3">
      <c r="A1115" s="319" t="s">
        <v>1675</v>
      </c>
      <c r="B1115" s="320"/>
      <c r="C1115" s="321"/>
      <c r="D1115" s="84"/>
      <c r="E1115" s="65"/>
      <c r="F1115" s="192">
        <f t="shared" ref="F1115" si="91">SUM(G1115:J1115)</f>
        <v>20423.433000000001</v>
      </c>
      <c r="G1115" s="192">
        <f>SUM(G1113:G1114)</f>
        <v>0</v>
      </c>
      <c r="H1115" s="192">
        <f>SUM(H1114)</f>
        <v>0</v>
      </c>
      <c r="I1115" s="192">
        <f>SUM(I1113:I1114)</f>
        <v>20423.433000000001</v>
      </c>
      <c r="J1115" s="198">
        <f t="shared" ref="J1115" si="92">SUM(J1113:J1114)</f>
        <v>0</v>
      </c>
      <c r="K1115" s="65"/>
    </row>
    <row r="1116" spans="1:11" s="68" customFormat="1" ht="26.4" x14ac:dyDescent="0.3">
      <c r="A1116" s="65">
        <v>1008</v>
      </c>
      <c r="B1116" s="245" t="s">
        <v>1749</v>
      </c>
      <c r="C1116" s="18" t="s">
        <v>1750</v>
      </c>
      <c r="D1116" s="80" t="s">
        <v>1751</v>
      </c>
      <c r="E1116" s="16" t="s">
        <v>19</v>
      </c>
      <c r="F1116" s="107">
        <f>65625/1000</f>
        <v>65.625</v>
      </c>
      <c r="G1116" s="107">
        <f>65625/1000</f>
        <v>65.625</v>
      </c>
      <c r="H1116" s="107">
        <v>0</v>
      </c>
      <c r="I1116" s="107">
        <v>0</v>
      </c>
      <c r="J1116" s="107">
        <v>0</v>
      </c>
      <c r="K1116" s="16" t="s">
        <v>1686</v>
      </c>
    </row>
    <row r="1117" spans="1:11" s="68" customFormat="1" ht="26.4" x14ac:dyDescent="0.3">
      <c r="A1117" s="65">
        <f>A1116+1</f>
        <v>1009</v>
      </c>
      <c r="B1117" s="315"/>
      <c r="C1117" s="18" t="s">
        <v>1752</v>
      </c>
      <c r="D1117" s="80" t="s">
        <v>1753</v>
      </c>
      <c r="E1117" s="16" t="s">
        <v>19</v>
      </c>
      <c r="F1117" s="107">
        <f>459812.5/1000</f>
        <v>459.8125</v>
      </c>
      <c r="G1117" s="107">
        <v>0</v>
      </c>
      <c r="H1117" s="107">
        <f>459812.5/1000</f>
        <v>459.8125</v>
      </c>
      <c r="I1117" s="107">
        <v>0</v>
      </c>
      <c r="J1117" s="107">
        <v>0</v>
      </c>
      <c r="K1117" s="16" t="s">
        <v>1635</v>
      </c>
    </row>
    <row r="1118" spans="1:11" s="68" customFormat="1" ht="26.4" x14ac:dyDescent="0.3">
      <c r="A1118" s="65">
        <f t="shared" ref="A1118:A1120" si="93">A1117+1</f>
        <v>1010</v>
      </c>
      <c r="B1118" s="315"/>
      <c r="C1118" s="18" t="s">
        <v>1754</v>
      </c>
      <c r="D1118" s="80" t="s">
        <v>1755</v>
      </c>
      <c r="E1118" s="16" t="s">
        <v>19</v>
      </c>
      <c r="F1118" s="107">
        <f>535722/1000</f>
        <v>535.72199999999998</v>
      </c>
      <c r="G1118" s="107">
        <v>0</v>
      </c>
      <c r="H1118" s="107">
        <f>535722/1000</f>
        <v>535.72199999999998</v>
      </c>
      <c r="I1118" s="107">
        <v>0</v>
      </c>
      <c r="J1118" s="107">
        <v>0</v>
      </c>
      <c r="K1118" s="16" t="s">
        <v>1756</v>
      </c>
    </row>
    <row r="1119" spans="1:11" s="68" customFormat="1" ht="39.6" x14ac:dyDescent="0.3">
      <c r="A1119" s="65">
        <f t="shared" si="93"/>
        <v>1011</v>
      </c>
      <c r="B1119" s="315"/>
      <c r="C1119" s="18" t="s">
        <v>1757</v>
      </c>
      <c r="D1119" s="80" t="s">
        <v>1758</v>
      </c>
      <c r="E1119" s="16" t="s">
        <v>19</v>
      </c>
      <c r="F1119" s="107">
        <f>638600/1000</f>
        <v>638.6</v>
      </c>
      <c r="G1119" s="107">
        <v>0</v>
      </c>
      <c r="H1119" s="107">
        <f>638600/1000</f>
        <v>638.6</v>
      </c>
      <c r="I1119" s="107">
        <v>0</v>
      </c>
      <c r="J1119" s="107">
        <v>0</v>
      </c>
      <c r="K1119" s="16" t="s">
        <v>1635</v>
      </c>
    </row>
    <row r="1120" spans="1:11" s="68" customFormat="1" ht="26.4" x14ac:dyDescent="0.3">
      <c r="A1120" s="65">
        <f t="shared" si="93"/>
        <v>1012</v>
      </c>
      <c r="B1120" s="246"/>
      <c r="C1120" s="18" t="s">
        <v>1759</v>
      </c>
      <c r="D1120" s="80" t="s">
        <v>137</v>
      </c>
      <c r="E1120" s="16" t="s">
        <v>19</v>
      </c>
      <c r="F1120" s="107">
        <f>4505820/1000</f>
        <v>4505.82</v>
      </c>
      <c r="G1120" s="107">
        <v>0</v>
      </c>
      <c r="H1120" s="107">
        <f>1619860/1000</f>
        <v>1619.86</v>
      </c>
      <c r="I1120" s="107">
        <f>2885960/1000</f>
        <v>2885.96</v>
      </c>
      <c r="J1120" s="107">
        <v>0</v>
      </c>
      <c r="K1120" s="16" t="s">
        <v>1638</v>
      </c>
    </row>
    <row r="1121" spans="1:11" s="81" customFormat="1" x14ac:dyDescent="0.3">
      <c r="A1121" s="319" t="s">
        <v>1628</v>
      </c>
      <c r="B1121" s="320"/>
      <c r="C1121" s="321"/>
      <c r="D1121" s="89"/>
      <c r="E1121" s="65"/>
      <c r="F1121" s="192">
        <f>SUM(G1121:J1121)</f>
        <v>6205.5794999999998</v>
      </c>
      <c r="G1121" s="192">
        <f>SUM(G1116:G1120)</f>
        <v>65.625</v>
      </c>
      <c r="H1121" s="192">
        <f>SUM(H1116:H1120)</f>
        <v>3253.9944999999998</v>
      </c>
      <c r="I1121" s="192">
        <f>SUM(I1116:I1120)</f>
        <v>2885.96</v>
      </c>
      <c r="J1121" s="198">
        <f>SUM(J1116:J1120)</f>
        <v>0</v>
      </c>
      <c r="K1121" s="65"/>
    </row>
    <row r="1122" spans="1:11" s="68" customFormat="1" ht="26.4" x14ac:dyDescent="0.3">
      <c r="A1122" s="69">
        <f>A1120+1</f>
        <v>1013</v>
      </c>
      <c r="B1122" s="245" t="s">
        <v>1749</v>
      </c>
      <c r="C1122" s="18" t="s">
        <v>1760</v>
      </c>
      <c r="D1122" s="80" t="s">
        <v>1751</v>
      </c>
      <c r="E1122" s="16" t="s">
        <v>19</v>
      </c>
      <c r="F1122" s="107">
        <f>65625/1000</f>
        <v>65.625</v>
      </c>
      <c r="G1122" s="107">
        <v>0</v>
      </c>
      <c r="H1122" s="107">
        <f>65625/1000</f>
        <v>65.625</v>
      </c>
      <c r="I1122" s="107">
        <v>0</v>
      </c>
      <c r="J1122" s="107">
        <v>0</v>
      </c>
      <c r="K1122" s="16" t="s">
        <v>1747</v>
      </c>
    </row>
    <row r="1123" spans="1:11" s="68" customFormat="1" ht="26.4" x14ac:dyDescent="0.3">
      <c r="A1123" s="65">
        <f>A1122+1</f>
        <v>1014</v>
      </c>
      <c r="B1123" s="315"/>
      <c r="C1123" s="18" t="s">
        <v>1761</v>
      </c>
      <c r="D1123" s="80" t="s">
        <v>1762</v>
      </c>
      <c r="E1123" s="16" t="s">
        <v>19</v>
      </c>
      <c r="F1123" s="107">
        <f>459812.5/1000</f>
        <v>459.8125</v>
      </c>
      <c r="G1123" s="107">
        <v>0</v>
      </c>
      <c r="H1123" s="107">
        <v>0</v>
      </c>
      <c r="I1123" s="107">
        <f>459812.5/1000</f>
        <v>459.8125</v>
      </c>
      <c r="J1123" s="107">
        <v>0</v>
      </c>
      <c r="K1123" s="16" t="s">
        <v>1701</v>
      </c>
    </row>
    <row r="1124" spans="1:11" s="68" customFormat="1" ht="26.4" x14ac:dyDescent="0.3">
      <c r="A1124" s="65">
        <f t="shared" ref="A1124:A1125" si="94">A1123+1</f>
        <v>1015</v>
      </c>
      <c r="B1124" s="315"/>
      <c r="C1124" s="18" t="s">
        <v>1763</v>
      </c>
      <c r="D1124" s="80" t="s">
        <v>1764</v>
      </c>
      <c r="E1124" s="16" t="s">
        <v>19</v>
      </c>
      <c r="F1124" s="107">
        <f>535722/1000</f>
        <v>535.72199999999998</v>
      </c>
      <c r="G1124" s="107">
        <v>0</v>
      </c>
      <c r="H1124" s="107">
        <v>0</v>
      </c>
      <c r="I1124" s="107">
        <f>535722/1000</f>
        <v>535.72199999999998</v>
      </c>
      <c r="J1124" s="107">
        <v>0</v>
      </c>
      <c r="K1124" s="16" t="s">
        <v>1701</v>
      </c>
    </row>
    <row r="1125" spans="1:11" s="68" customFormat="1" ht="39.6" x14ac:dyDescent="0.3">
      <c r="A1125" s="65">
        <f t="shared" si="94"/>
        <v>1016</v>
      </c>
      <c r="B1125" s="246"/>
      <c r="C1125" s="18" t="s">
        <v>1765</v>
      </c>
      <c r="D1125" s="80" t="s">
        <v>1766</v>
      </c>
      <c r="E1125" s="16" t="s">
        <v>19</v>
      </c>
      <c r="F1125" s="107">
        <f>638600/1000</f>
        <v>638.6</v>
      </c>
      <c r="G1125" s="107">
        <v>0</v>
      </c>
      <c r="H1125" s="107">
        <v>0</v>
      </c>
      <c r="I1125" s="107">
        <f>638600/1000</f>
        <v>638.6</v>
      </c>
      <c r="J1125" s="107">
        <v>0</v>
      </c>
      <c r="K1125" s="16" t="s">
        <v>1767</v>
      </c>
    </row>
    <row r="1126" spans="1:11" s="81" customFormat="1" x14ac:dyDescent="0.3">
      <c r="A1126" s="319" t="s">
        <v>1622</v>
      </c>
      <c r="B1126" s="320"/>
      <c r="C1126" s="321"/>
      <c r="D1126" s="80"/>
      <c r="E1126" s="65"/>
      <c r="F1126" s="192">
        <f>SUM(G1126:J1126)</f>
        <v>1699.7595000000001</v>
      </c>
      <c r="G1126" s="192">
        <f>SUM(G1122:G1123)</f>
        <v>0</v>
      </c>
      <c r="H1126" s="192">
        <f>SUM(H1122:H1125)</f>
        <v>65.625</v>
      </c>
      <c r="I1126" s="192">
        <f>SUM(I1122:I1125)</f>
        <v>1634.1345000000001</v>
      </c>
      <c r="J1126" s="198">
        <f>SUM(J1122:J1125)</f>
        <v>0</v>
      </c>
      <c r="K1126" s="65"/>
    </row>
    <row r="1127" spans="1:11" s="68" customFormat="1" ht="26.4" x14ac:dyDescent="0.3">
      <c r="A1127" s="65">
        <v>1017</v>
      </c>
      <c r="B1127" s="66" t="s">
        <v>1749</v>
      </c>
      <c r="C1127" s="18" t="s">
        <v>1768</v>
      </c>
      <c r="D1127" s="80" t="s">
        <v>1751</v>
      </c>
      <c r="E1127" s="16" t="s">
        <v>19</v>
      </c>
      <c r="F1127" s="107">
        <f>65625/1000</f>
        <v>65.625</v>
      </c>
      <c r="G1127" s="107">
        <v>0</v>
      </c>
      <c r="H1127" s="107">
        <v>0</v>
      </c>
      <c r="I1127" s="107">
        <f>65625/1000</f>
        <v>65.625</v>
      </c>
      <c r="J1127" s="107">
        <v>0</v>
      </c>
      <c r="K1127" s="16" t="s">
        <v>1725</v>
      </c>
    </row>
    <row r="1128" spans="1:11" s="81" customFormat="1" x14ac:dyDescent="0.3">
      <c r="A1128" s="319" t="s">
        <v>1675</v>
      </c>
      <c r="B1128" s="320"/>
      <c r="C1128" s="321"/>
      <c r="D1128" s="84"/>
      <c r="E1128" s="65"/>
      <c r="F1128" s="192">
        <f t="shared" ref="F1128" si="95">SUM(G1128:J1128)</f>
        <v>65.625</v>
      </c>
      <c r="G1128" s="192">
        <f>SUM(G1127:G1127)</f>
        <v>0</v>
      </c>
      <c r="H1128" s="192">
        <f>SUM(H1127:H1127)</f>
        <v>0</v>
      </c>
      <c r="I1128" s="192">
        <f>SUM(I1127:I1127)</f>
        <v>65.625</v>
      </c>
      <c r="J1128" s="192">
        <f>SUM(J1127:J1127)</f>
        <v>0</v>
      </c>
      <c r="K1128" s="65"/>
    </row>
    <row r="1129" spans="1:11" s="81" customFormat="1" ht="39.6" x14ac:dyDescent="0.3">
      <c r="A1129" s="85">
        <v>1018</v>
      </c>
      <c r="B1129" s="245" t="s">
        <v>1769</v>
      </c>
      <c r="C1129" s="18" t="s">
        <v>1770</v>
      </c>
      <c r="D1129" s="80" t="s">
        <v>1771</v>
      </c>
      <c r="E1129" s="16" t="s">
        <v>19</v>
      </c>
      <c r="F1129" s="107">
        <f>1218000/1000</f>
        <v>1218</v>
      </c>
      <c r="G1129" s="107">
        <f>1218000/1000</f>
        <v>1218</v>
      </c>
      <c r="H1129" s="107">
        <v>0</v>
      </c>
      <c r="I1129" s="107">
        <v>0</v>
      </c>
      <c r="J1129" s="107">
        <v>0</v>
      </c>
      <c r="K1129" s="16" t="s">
        <v>1635</v>
      </c>
    </row>
    <row r="1130" spans="1:11" s="81" customFormat="1" ht="26.4" x14ac:dyDescent="0.3">
      <c r="A1130" s="79">
        <v>1019</v>
      </c>
      <c r="B1130" s="246"/>
      <c r="C1130" s="18" t="s">
        <v>1772</v>
      </c>
      <c r="D1130" s="80" t="s">
        <v>1738</v>
      </c>
      <c r="E1130" s="16" t="s">
        <v>19</v>
      </c>
      <c r="F1130" s="107">
        <f>7521431.48/1000</f>
        <v>7521.4314800000002</v>
      </c>
      <c r="G1130" s="107">
        <f>7521431.48/1000</f>
        <v>7521.4314800000002</v>
      </c>
      <c r="H1130" s="107">
        <v>0</v>
      </c>
      <c r="I1130" s="107">
        <v>0</v>
      </c>
      <c r="J1130" s="107">
        <v>0</v>
      </c>
      <c r="K1130" s="16" t="s">
        <v>1635</v>
      </c>
    </row>
    <row r="1131" spans="1:11" s="81" customFormat="1" x14ac:dyDescent="0.3">
      <c r="A1131" s="319" t="s">
        <v>1628</v>
      </c>
      <c r="B1131" s="320"/>
      <c r="C1131" s="321"/>
      <c r="D1131" s="89"/>
      <c r="E1131" s="65"/>
      <c r="F1131" s="192">
        <f>SUM(G1131:J1131)</f>
        <v>8739.4314799999993</v>
      </c>
      <c r="G1131" s="192">
        <f>SUM(G1129:G1130)</f>
        <v>8739.4314799999993</v>
      </c>
      <c r="H1131" s="192">
        <f>SUM(H1129:H1130)</f>
        <v>0</v>
      </c>
      <c r="I1131" s="192">
        <f>SUM(I1129:I1130)</f>
        <v>0</v>
      </c>
      <c r="J1131" s="198">
        <f>SUM(J1130:J1130)</f>
        <v>0</v>
      </c>
      <c r="K1131" s="65"/>
    </row>
    <row r="1132" spans="1:11" s="81" customFormat="1" ht="26.4" x14ac:dyDescent="0.3">
      <c r="A1132" s="65">
        <v>1020</v>
      </c>
      <c r="B1132" s="66" t="s">
        <v>1769</v>
      </c>
      <c r="C1132" s="18" t="s">
        <v>1773</v>
      </c>
      <c r="D1132" s="80" t="s">
        <v>1738</v>
      </c>
      <c r="E1132" s="16" t="s">
        <v>19</v>
      </c>
      <c r="F1132" s="107">
        <f>10521431.48/1000</f>
        <v>10521.431480000001</v>
      </c>
      <c r="G1132" s="107">
        <v>0</v>
      </c>
      <c r="H1132" s="107">
        <f>10521431.48/1000</f>
        <v>10521.431480000001</v>
      </c>
      <c r="I1132" s="107">
        <v>0</v>
      </c>
      <c r="J1132" s="107">
        <v>0</v>
      </c>
      <c r="K1132" s="16" t="s">
        <v>1680</v>
      </c>
    </row>
    <row r="1133" spans="1:11" s="81" customFormat="1" x14ac:dyDescent="0.3">
      <c r="A1133" s="319" t="s">
        <v>1622</v>
      </c>
      <c r="B1133" s="320"/>
      <c r="C1133" s="321"/>
      <c r="D1133" s="16"/>
      <c r="E1133" s="65"/>
      <c r="F1133" s="192">
        <f>SUM(G1133:J1133)</f>
        <v>10521.431480000001</v>
      </c>
      <c r="G1133" s="192">
        <f>SUM(G1132:G1132)</f>
        <v>0</v>
      </c>
      <c r="H1133" s="192">
        <f>SUM(H1132:H1132)</f>
        <v>10521.431480000001</v>
      </c>
      <c r="I1133" s="192">
        <f t="shared" ref="I1133:J1133" si="96">SUM(I1132:I1132)</f>
        <v>0</v>
      </c>
      <c r="J1133" s="198">
        <f t="shared" si="96"/>
        <v>0</v>
      </c>
      <c r="K1133" s="65"/>
    </row>
    <row r="1134" spans="1:11" s="81" customFormat="1" ht="26.4" x14ac:dyDescent="0.3">
      <c r="A1134" s="65">
        <v>1021</v>
      </c>
      <c r="B1134" s="66" t="s">
        <v>1769</v>
      </c>
      <c r="C1134" s="86" t="s">
        <v>1774</v>
      </c>
      <c r="D1134" s="16" t="s">
        <v>1738</v>
      </c>
      <c r="E1134" s="16" t="s">
        <v>19</v>
      </c>
      <c r="F1134" s="107">
        <f>10521431.48/1000</f>
        <v>10521.431480000001</v>
      </c>
      <c r="G1134" s="107">
        <v>0</v>
      </c>
      <c r="H1134" s="107">
        <v>0</v>
      </c>
      <c r="I1134" s="107">
        <f>10521431.48/1000</f>
        <v>10521.431480000001</v>
      </c>
      <c r="J1134" s="107">
        <v>0</v>
      </c>
      <c r="K1134" s="16" t="s">
        <v>1649</v>
      </c>
    </row>
    <row r="1135" spans="1:11" s="81" customFormat="1" x14ac:dyDescent="0.3">
      <c r="A1135" s="319" t="s">
        <v>1675</v>
      </c>
      <c r="B1135" s="320"/>
      <c r="C1135" s="321"/>
      <c r="D1135" s="84"/>
      <c r="E1135" s="65"/>
      <c r="F1135" s="192">
        <f>SUM(G1135:J1135)</f>
        <v>10521.431480000001</v>
      </c>
      <c r="G1135" s="192">
        <f t="shared" ref="G1135:H1135" si="97">SUM(G1134:G1134)</f>
        <v>0</v>
      </c>
      <c r="H1135" s="192">
        <f t="shared" si="97"/>
        <v>0</v>
      </c>
      <c r="I1135" s="192">
        <f>SUM(I1134:I1134)</f>
        <v>10521.431480000001</v>
      </c>
      <c r="J1135" s="198">
        <f>SUM(J1134:J1134)</f>
        <v>0</v>
      </c>
      <c r="K1135" s="65"/>
    </row>
    <row r="1136" spans="1:11" s="68" customFormat="1" ht="26.4" x14ac:dyDescent="0.3">
      <c r="A1136" s="87">
        <v>1022</v>
      </c>
      <c r="B1136" s="245" t="s">
        <v>1775</v>
      </c>
      <c r="C1136" s="18" t="s">
        <v>1776</v>
      </c>
      <c r="D1136" s="80" t="s">
        <v>1691</v>
      </c>
      <c r="E1136" s="16" t="s">
        <v>19</v>
      </c>
      <c r="F1136" s="107">
        <f>2072731.29/1000</f>
        <v>2072.7312900000002</v>
      </c>
      <c r="G1136" s="107">
        <v>0</v>
      </c>
      <c r="H1136" s="107">
        <f>2072731.29/1000</f>
        <v>2072.7312900000002</v>
      </c>
      <c r="I1136" s="107">
        <v>0</v>
      </c>
      <c r="J1136" s="107">
        <v>0</v>
      </c>
      <c r="K1136" s="16" t="s">
        <v>1692</v>
      </c>
    </row>
    <row r="1137" spans="1:11" s="68" customFormat="1" ht="26.4" x14ac:dyDescent="0.3">
      <c r="A1137" s="65">
        <v>1023</v>
      </c>
      <c r="B1137" s="246"/>
      <c r="C1137" s="21" t="s">
        <v>1777</v>
      </c>
      <c r="D1137" s="80" t="s">
        <v>1738</v>
      </c>
      <c r="E1137" s="16" t="s">
        <v>19</v>
      </c>
      <c r="F1137" s="101">
        <f>3891660.13/1000</f>
        <v>3891.6601299999998</v>
      </c>
      <c r="G1137" s="101">
        <f>3891660.13/1000</f>
        <v>3891.6601299999998</v>
      </c>
      <c r="H1137" s="101">
        <v>0</v>
      </c>
      <c r="I1137" s="101">
        <v>0</v>
      </c>
      <c r="J1137" s="101">
        <v>0</v>
      </c>
      <c r="K1137" s="16" t="s">
        <v>1635</v>
      </c>
    </row>
    <row r="1138" spans="1:11" s="81" customFormat="1" x14ac:dyDescent="0.3">
      <c r="A1138" s="319" t="s">
        <v>1628</v>
      </c>
      <c r="B1138" s="320"/>
      <c r="C1138" s="321"/>
      <c r="D1138" s="90"/>
      <c r="E1138" s="65"/>
      <c r="F1138" s="192">
        <f>SUM(G1138:J1138)</f>
        <v>5964.3914199999999</v>
      </c>
      <c r="G1138" s="192">
        <f>SUM(G1136:G1137)</f>
        <v>3891.6601299999998</v>
      </c>
      <c r="H1138" s="192">
        <f>SUM(H1136:H1137)</f>
        <v>2072.7312900000002</v>
      </c>
      <c r="I1138" s="192">
        <f>SUM(I1136:I1137)</f>
        <v>0</v>
      </c>
      <c r="J1138" s="198">
        <f>SUM(J1136:J1137)</f>
        <v>0</v>
      </c>
      <c r="K1138" s="65"/>
    </row>
    <row r="1139" spans="1:11" s="68" customFormat="1" ht="26.4" x14ac:dyDescent="0.3">
      <c r="A1139" s="65">
        <v>1024</v>
      </c>
      <c r="B1139" s="245" t="s">
        <v>1775</v>
      </c>
      <c r="C1139" s="18" t="s">
        <v>1778</v>
      </c>
      <c r="D1139" s="80" t="s">
        <v>1691</v>
      </c>
      <c r="E1139" s="16" t="s">
        <v>19</v>
      </c>
      <c r="F1139" s="107">
        <f>8275274.46/1000</f>
        <v>8275.2744600000005</v>
      </c>
      <c r="G1139" s="107">
        <v>0</v>
      </c>
      <c r="H1139" s="107">
        <v>0</v>
      </c>
      <c r="I1139" s="107">
        <f>8275274.46/1000</f>
        <v>8275.2744600000005</v>
      </c>
      <c r="J1139" s="107">
        <v>0</v>
      </c>
      <c r="K1139" s="16" t="s">
        <v>1672</v>
      </c>
    </row>
    <row r="1140" spans="1:11" s="68" customFormat="1" ht="26.4" x14ac:dyDescent="0.3">
      <c r="A1140" s="65">
        <v>1025</v>
      </c>
      <c r="B1140" s="246"/>
      <c r="C1140" s="21" t="s">
        <v>1779</v>
      </c>
      <c r="D1140" s="80" t="s">
        <v>1738</v>
      </c>
      <c r="E1140" s="16" t="s">
        <v>19</v>
      </c>
      <c r="F1140" s="101">
        <f>8868242.57/1000</f>
        <v>8868.2425700000003</v>
      </c>
      <c r="G1140" s="101">
        <v>0</v>
      </c>
      <c r="H1140" s="101">
        <f>8868242.57/1000</f>
        <v>8868.2425700000003</v>
      </c>
      <c r="I1140" s="101">
        <v>0</v>
      </c>
      <c r="J1140" s="101">
        <v>0</v>
      </c>
      <c r="K1140" s="16" t="s">
        <v>1672</v>
      </c>
    </row>
    <row r="1141" spans="1:11" s="81" customFormat="1" x14ac:dyDescent="0.3">
      <c r="A1141" s="319" t="s">
        <v>1622</v>
      </c>
      <c r="B1141" s="320"/>
      <c r="C1141" s="321"/>
      <c r="D1141" s="90"/>
      <c r="E1141" s="65"/>
      <c r="F1141" s="192">
        <f>SUM(G1141:J1141)</f>
        <v>17143.517030000003</v>
      </c>
      <c r="G1141" s="192">
        <f>SUM(G1139:G1140)</f>
        <v>0</v>
      </c>
      <c r="H1141" s="192">
        <f>SUM(H1139:H1140)</f>
        <v>8868.2425700000003</v>
      </c>
      <c r="I1141" s="192">
        <f>SUM(I1139:I1140)</f>
        <v>8275.2744600000005</v>
      </c>
      <c r="J1141" s="198">
        <f>SUM(J1139:J1140)</f>
        <v>0</v>
      </c>
      <c r="K1141" s="65"/>
    </row>
    <row r="1142" spans="1:11" s="68" customFormat="1" ht="26.4" x14ac:dyDescent="0.3">
      <c r="A1142" s="65">
        <v>1026</v>
      </c>
      <c r="B1142" s="66" t="s">
        <v>1775</v>
      </c>
      <c r="C1142" s="21" t="s">
        <v>1780</v>
      </c>
      <c r="D1142" s="80" t="s">
        <v>1738</v>
      </c>
      <c r="E1142" s="16" t="s">
        <v>19</v>
      </c>
      <c r="F1142" s="101">
        <f>8868242.57/1000</f>
        <v>8868.2425700000003</v>
      </c>
      <c r="G1142" s="101">
        <v>0</v>
      </c>
      <c r="H1142" s="101">
        <v>0</v>
      </c>
      <c r="I1142" s="101">
        <f>8868242.57/1000</f>
        <v>8868.2425700000003</v>
      </c>
      <c r="J1142" s="101">
        <v>0</v>
      </c>
      <c r="K1142" s="16" t="s">
        <v>1674</v>
      </c>
    </row>
    <row r="1143" spans="1:11" s="81" customFormat="1" x14ac:dyDescent="0.3">
      <c r="A1143" s="319" t="s">
        <v>1675</v>
      </c>
      <c r="B1143" s="320"/>
      <c r="C1143" s="321"/>
      <c r="D1143" s="84"/>
      <c r="E1143" s="65"/>
      <c r="F1143" s="192">
        <f t="shared" ref="F1143" si="98">SUM(G1143:J1143)</f>
        <v>8868.2425700000003</v>
      </c>
      <c r="G1143" s="192">
        <f>SUM(G1142:G1142)</f>
        <v>0</v>
      </c>
      <c r="H1143" s="192">
        <f>SUM(H1142:H1142)</f>
        <v>0</v>
      </c>
      <c r="I1143" s="192">
        <f>SUM(I1142:I1142)</f>
        <v>8868.2425700000003</v>
      </c>
      <c r="J1143" s="198">
        <f>SUM(J1142:J1142)</f>
        <v>0</v>
      </c>
      <c r="K1143" s="65"/>
    </row>
    <row r="1144" spans="1:11" s="68" customFormat="1" ht="26.4" x14ac:dyDescent="0.3">
      <c r="A1144" s="87">
        <v>1027</v>
      </c>
      <c r="B1144" s="294" t="s">
        <v>1781</v>
      </c>
      <c r="C1144" s="86" t="s">
        <v>1782</v>
      </c>
      <c r="D1144" s="80" t="s">
        <v>1783</v>
      </c>
      <c r="E1144" s="16" t="s">
        <v>19</v>
      </c>
      <c r="F1144" s="107">
        <f>2170000/1000</f>
        <v>2170</v>
      </c>
      <c r="G1144" s="107">
        <v>0</v>
      </c>
      <c r="H1144" s="107">
        <f>2170000/1000</f>
        <v>2170</v>
      </c>
      <c r="I1144" s="107">
        <v>0</v>
      </c>
      <c r="J1144" s="107">
        <v>0</v>
      </c>
      <c r="K1144" s="16" t="s">
        <v>1661</v>
      </c>
    </row>
    <row r="1145" spans="1:11" s="68" customFormat="1" ht="26.4" x14ac:dyDescent="0.3">
      <c r="A1145" s="87">
        <v>1028</v>
      </c>
      <c r="B1145" s="305"/>
      <c r="C1145" s="86" t="s">
        <v>1784</v>
      </c>
      <c r="D1145" s="80" t="s">
        <v>1694</v>
      </c>
      <c r="E1145" s="16" t="s">
        <v>19</v>
      </c>
      <c r="F1145" s="107">
        <f>804790/1000</f>
        <v>804.79</v>
      </c>
      <c r="G1145" s="107">
        <v>0</v>
      </c>
      <c r="H1145" s="107">
        <f>804790/1000</f>
        <v>804.79</v>
      </c>
      <c r="I1145" s="107">
        <v>0</v>
      </c>
      <c r="J1145" s="107">
        <v>0</v>
      </c>
      <c r="K1145" s="16" t="s">
        <v>1661</v>
      </c>
    </row>
    <row r="1146" spans="1:11" s="68" customFormat="1" ht="26.4" x14ac:dyDescent="0.3">
      <c r="A1146" s="87">
        <v>1029</v>
      </c>
      <c r="B1146" s="305"/>
      <c r="C1146" s="86" t="s">
        <v>1785</v>
      </c>
      <c r="D1146" s="80" t="s">
        <v>1786</v>
      </c>
      <c r="E1146" s="16" t="s">
        <v>19</v>
      </c>
      <c r="F1146" s="107">
        <f>2463070/1000</f>
        <v>2463.0700000000002</v>
      </c>
      <c r="G1146" s="107">
        <v>0</v>
      </c>
      <c r="H1146" s="107">
        <f>2463070/1000</f>
        <v>2463.0700000000002</v>
      </c>
      <c r="I1146" s="107">
        <v>0</v>
      </c>
      <c r="J1146" s="107">
        <v>0</v>
      </c>
      <c r="K1146" s="16" t="s">
        <v>1661</v>
      </c>
    </row>
    <row r="1147" spans="1:11" s="68" customFormat="1" ht="26.4" x14ac:dyDescent="0.3">
      <c r="A1147" s="87">
        <v>1030</v>
      </c>
      <c r="B1147" s="305"/>
      <c r="C1147" s="86" t="s">
        <v>1787</v>
      </c>
      <c r="D1147" s="80" t="s">
        <v>1788</v>
      </c>
      <c r="E1147" s="16" t="s">
        <v>19</v>
      </c>
      <c r="F1147" s="107">
        <f>2463070/1000</f>
        <v>2463.0700000000002</v>
      </c>
      <c r="G1147" s="107">
        <f>2463070/1000</f>
        <v>2463.0700000000002</v>
      </c>
      <c r="H1147" s="107">
        <v>0</v>
      </c>
      <c r="I1147" s="107">
        <v>0</v>
      </c>
      <c r="J1147" s="107">
        <v>0</v>
      </c>
      <c r="K1147" s="16" t="s">
        <v>1632</v>
      </c>
    </row>
    <row r="1148" spans="1:11" s="68" customFormat="1" ht="26.4" x14ac:dyDescent="0.3">
      <c r="A1148" s="87">
        <v>1031</v>
      </c>
      <c r="B1148" s="295"/>
      <c r="C1148" s="86" t="s">
        <v>1789</v>
      </c>
      <c r="D1148" s="80" t="s">
        <v>1790</v>
      </c>
      <c r="E1148" s="16" t="s">
        <v>19</v>
      </c>
      <c r="F1148" s="107">
        <f>2170000/1000</f>
        <v>2170</v>
      </c>
      <c r="G1148" s="107">
        <f>2170000/1000</f>
        <v>2170</v>
      </c>
      <c r="H1148" s="107">
        <v>0</v>
      </c>
      <c r="I1148" s="107">
        <v>0</v>
      </c>
      <c r="J1148" s="107">
        <v>0</v>
      </c>
      <c r="K1148" s="16" t="s">
        <v>1632</v>
      </c>
    </row>
    <row r="1149" spans="1:11" s="81" customFormat="1" x14ac:dyDescent="0.3">
      <c r="A1149" s="328" t="s">
        <v>1628</v>
      </c>
      <c r="B1149" s="329"/>
      <c r="C1149" s="330"/>
      <c r="D1149" s="89"/>
      <c r="E1149" s="83"/>
      <c r="F1149" s="206">
        <f>SUM(G1149:J1149)</f>
        <v>10070.93</v>
      </c>
      <c r="G1149" s="206">
        <f>SUM(G1144:G1148)</f>
        <v>4633.07</v>
      </c>
      <c r="H1149" s="206">
        <f>SUM(H1144:H1148)</f>
        <v>5437.8600000000006</v>
      </c>
      <c r="I1149" s="206">
        <f>SUM(I1144:I1148)</f>
        <v>0</v>
      </c>
      <c r="J1149" s="206">
        <f>SUM(J1144:J1148)</f>
        <v>0</v>
      </c>
      <c r="K1149" s="83"/>
    </row>
    <row r="1150" spans="1:11" s="68" customFormat="1" ht="26.4" x14ac:dyDescent="0.3">
      <c r="A1150" s="87">
        <v>1032</v>
      </c>
      <c r="B1150" s="91" t="s">
        <v>1781</v>
      </c>
      <c r="C1150" s="86" t="s">
        <v>1791</v>
      </c>
      <c r="D1150" s="80" t="s">
        <v>1691</v>
      </c>
      <c r="E1150" s="16" t="s">
        <v>19</v>
      </c>
      <c r="F1150" s="107">
        <f>2879015/1000</f>
        <v>2879.0149999999999</v>
      </c>
      <c r="G1150" s="107">
        <v>0</v>
      </c>
      <c r="H1150" s="107">
        <f>2879015/1000</f>
        <v>2879.0149999999999</v>
      </c>
      <c r="I1150" s="107">
        <v>0</v>
      </c>
      <c r="J1150" s="107">
        <v>0</v>
      </c>
      <c r="K1150" s="16" t="s">
        <v>1672</v>
      </c>
    </row>
    <row r="1151" spans="1:11" s="81" customFormat="1" x14ac:dyDescent="0.3">
      <c r="A1151" s="302" t="s">
        <v>1622</v>
      </c>
      <c r="B1151" s="303"/>
      <c r="C1151" s="304"/>
      <c r="D1151" s="80"/>
      <c r="E1151" s="65"/>
      <c r="F1151" s="192">
        <f>SUM(G1151:J1151)</f>
        <v>2879.0149999999999</v>
      </c>
      <c r="G1151" s="192">
        <f>SUM(G1150:G1150)</f>
        <v>0</v>
      </c>
      <c r="H1151" s="192">
        <f>SUM(H1150:H1150)</f>
        <v>2879.0149999999999</v>
      </c>
      <c r="I1151" s="192">
        <f>SUM(I1150:I1150)</f>
        <v>0</v>
      </c>
      <c r="J1151" s="192">
        <f>SUM(J1150:J1150)</f>
        <v>0</v>
      </c>
      <c r="K1151" s="65"/>
    </row>
    <row r="1152" spans="1:11" s="68" customFormat="1" ht="26.4" x14ac:dyDescent="0.3">
      <c r="A1152" s="87">
        <v>1033</v>
      </c>
      <c r="B1152" s="91" t="s">
        <v>1781</v>
      </c>
      <c r="C1152" s="86" t="s">
        <v>1792</v>
      </c>
      <c r="D1152" s="80" t="s">
        <v>1793</v>
      </c>
      <c r="E1152" s="16" t="s">
        <v>19</v>
      </c>
      <c r="F1152" s="107">
        <f>10560370/1000</f>
        <v>10560.37</v>
      </c>
      <c r="G1152" s="107">
        <v>0</v>
      </c>
      <c r="H1152" s="107">
        <v>0</v>
      </c>
      <c r="I1152" s="107">
        <f>10560370/1000</f>
        <v>10560.37</v>
      </c>
      <c r="J1152" s="107">
        <v>0</v>
      </c>
      <c r="K1152" s="16" t="s">
        <v>1674</v>
      </c>
    </row>
    <row r="1153" spans="1:11" s="81" customFormat="1" x14ac:dyDescent="0.3">
      <c r="A1153" s="319" t="s">
        <v>1675</v>
      </c>
      <c r="B1153" s="320"/>
      <c r="C1153" s="321"/>
      <c r="D1153" s="84"/>
      <c r="E1153" s="65"/>
      <c r="F1153" s="192">
        <f t="shared" ref="F1153" si="99">SUM(G1153:J1153)</f>
        <v>10560.37</v>
      </c>
      <c r="G1153" s="192">
        <f>SUM(G1152:G1152)</f>
        <v>0</v>
      </c>
      <c r="H1153" s="192">
        <f>SUM(H1152:H1152)</f>
        <v>0</v>
      </c>
      <c r="I1153" s="192">
        <f>SUM(I1152:I1152)</f>
        <v>10560.37</v>
      </c>
      <c r="J1153" s="198">
        <f>SUM(J1152:J1152)</f>
        <v>0</v>
      </c>
      <c r="K1153" s="65"/>
    </row>
    <row r="1154" spans="1:11" s="68" customFormat="1" ht="26.4" x14ac:dyDescent="0.3">
      <c r="A1154" s="87">
        <v>1034</v>
      </c>
      <c r="B1154" s="245" t="s">
        <v>1794</v>
      </c>
      <c r="C1154" s="18" t="s">
        <v>1795</v>
      </c>
      <c r="D1154" s="80" t="s">
        <v>182</v>
      </c>
      <c r="E1154" s="16" t="s">
        <v>19</v>
      </c>
      <c r="F1154" s="107">
        <f>175000/1000</f>
        <v>175</v>
      </c>
      <c r="G1154" s="107">
        <f>175000/1000</f>
        <v>175</v>
      </c>
      <c r="H1154" s="107">
        <v>0</v>
      </c>
      <c r="I1154" s="107">
        <v>0</v>
      </c>
      <c r="J1154" s="107">
        <v>0</v>
      </c>
      <c r="K1154" s="16" t="s">
        <v>1635</v>
      </c>
    </row>
    <row r="1155" spans="1:11" s="68" customFormat="1" ht="26.4" x14ac:dyDescent="0.3">
      <c r="A1155" s="65">
        <v>1035</v>
      </c>
      <c r="B1155" s="315"/>
      <c r="C1155" s="18" t="s">
        <v>1796</v>
      </c>
      <c r="D1155" s="80" t="s">
        <v>137</v>
      </c>
      <c r="E1155" s="16" t="s">
        <v>19</v>
      </c>
      <c r="F1155" s="107">
        <f>3525436/1000</f>
        <v>3525.4360000000001</v>
      </c>
      <c r="G1155" s="107">
        <v>0</v>
      </c>
      <c r="H1155" s="107">
        <f>315436/1000</f>
        <v>315.43599999999998</v>
      </c>
      <c r="I1155" s="107">
        <f>3210000/1000</f>
        <v>3210</v>
      </c>
      <c r="J1155" s="107">
        <v>0</v>
      </c>
      <c r="K1155" s="16" t="s">
        <v>1632</v>
      </c>
    </row>
    <row r="1156" spans="1:11" s="68" customFormat="1" ht="26.4" x14ac:dyDescent="0.3">
      <c r="A1156" s="65">
        <v>1036</v>
      </c>
      <c r="B1156" s="246"/>
      <c r="C1156" s="18" t="s">
        <v>1797</v>
      </c>
      <c r="D1156" s="80" t="s">
        <v>1691</v>
      </c>
      <c r="E1156" s="16" t="s">
        <v>19</v>
      </c>
      <c r="F1156" s="107">
        <f>800000/1000</f>
        <v>800</v>
      </c>
      <c r="G1156" s="107">
        <v>0</v>
      </c>
      <c r="H1156" s="107">
        <f>800000/1000</f>
        <v>800</v>
      </c>
      <c r="I1156" s="107">
        <v>0</v>
      </c>
      <c r="J1156" s="107">
        <v>0</v>
      </c>
      <c r="K1156" s="16" t="s">
        <v>1692</v>
      </c>
    </row>
    <row r="1157" spans="1:11" s="81" customFormat="1" x14ac:dyDescent="0.3">
      <c r="A1157" s="319" t="s">
        <v>1628</v>
      </c>
      <c r="B1157" s="320"/>
      <c r="C1157" s="321"/>
      <c r="D1157" s="87"/>
      <c r="E1157" s="65"/>
      <c r="F1157" s="192">
        <f>SUM(G1157:J1157)</f>
        <v>4500.4359999999997</v>
      </c>
      <c r="G1157" s="192">
        <f>SUM(G1154:G1156)</f>
        <v>175</v>
      </c>
      <c r="H1157" s="192">
        <f>SUM(H1154:H1156)</f>
        <v>1115.4359999999999</v>
      </c>
      <c r="I1157" s="192">
        <f>SUM(I1154:I1156)</f>
        <v>3210</v>
      </c>
      <c r="J1157" s="192">
        <f>SUM(J1154:J1156)</f>
        <v>0</v>
      </c>
      <c r="K1157" s="65"/>
    </row>
    <row r="1158" spans="1:11" s="81" customFormat="1" x14ac:dyDescent="0.3">
      <c r="A1158" s="65">
        <v>1037</v>
      </c>
      <c r="B1158" s="66" t="s">
        <v>1794</v>
      </c>
      <c r="C1158" s="18" t="s">
        <v>1798</v>
      </c>
      <c r="D1158" s="80" t="s">
        <v>1691</v>
      </c>
      <c r="E1158" s="65"/>
      <c r="F1158" s="107">
        <f>800000/1000</f>
        <v>800</v>
      </c>
      <c r="G1158" s="107">
        <v>0</v>
      </c>
      <c r="H1158" s="107">
        <v>0</v>
      </c>
      <c r="I1158" s="107">
        <f>800000/1000</f>
        <v>800</v>
      </c>
      <c r="J1158" s="107">
        <v>0</v>
      </c>
      <c r="K1158" s="16" t="s">
        <v>1707</v>
      </c>
    </row>
    <row r="1159" spans="1:11" s="81" customFormat="1" x14ac:dyDescent="0.3">
      <c r="A1159" s="319" t="s">
        <v>1622</v>
      </c>
      <c r="B1159" s="320"/>
      <c r="C1159" s="321"/>
      <c r="D1159" s="16"/>
      <c r="E1159" s="65"/>
      <c r="F1159" s="192">
        <f>SUM(G1159:J1159)</f>
        <v>800</v>
      </c>
      <c r="G1159" s="192">
        <f>SUM(G1158)</f>
        <v>0</v>
      </c>
      <c r="H1159" s="192">
        <f>SUM(H1158)</f>
        <v>0</v>
      </c>
      <c r="I1159" s="192">
        <f>SUM(I1158)</f>
        <v>800</v>
      </c>
      <c r="J1159" s="192">
        <f>SUM(J1158)</f>
        <v>0</v>
      </c>
      <c r="K1159" s="65"/>
    </row>
    <row r="1160" spans="1:11" s="68" customFormat="1" ht="26.4" x14ac:dyDescent="0.3">
      <c r="A1160" s="87">
        <v>1038</v>
      </c>
      <c r="B1160" s="245" t="s">
        <v>1799</v>
      </c>
      <c r="C1160" s="18" t="s">
        <v>1800</v>
      </c>
      <c r="D1160" s="16" t="s">
        <v>1652</v>
      </c>
      <c r="E1160" s="16" t="s">
        <v>19</v>
      </c>
      <c r="F1160" s="107">
        <f>12201303.28/1000</f>
        <v>12201.30328</v>
      </c>
      <c r="G1160" s="107">
        <f>12201303.28/1000</f>
        <v>12201.30328</v>
      </c>
      <c r="H1160" s="107">
        <v>0</v>
      </c>
      <c r="I1160" s="107">
        <v>0</v>
      </c>
      <c r="J1160" s="107">
        <v>0</v>
      </c>
      <c r="K1160" s="16" t="s">
        <v>1635</v>
      </c>
    </row>
    <row r="1161" spans="1:11" s="68" customFormat="1" ht="26.4" x14ac:dyDescent="0.3">
      <c r="A1161" s="65">
        <v>1039</v>
      </c>
      <c r="B1161" s="246"/>
      <c r="C1161" s="18" t="s">
        <v>1801</v>
      </c>
      <c r="D1161" s="16" t="s">
        <v>1691</v>
      </c>
      <c r="E1161" s="16" t="s">
        <v>19</v>
      </c>
      <c r="F1161" s="107">
        <f>20000000/1000</f>
        <v>20000</v>
      </c>
      <c r="G1161" s="107">
        <v>0</v>
      </c>
      <c r="H1161" s="107">
        <f>20000000/1000</f>
        <v>20000</v>
      </c>
      <c r="I1161" s="107">
        <v>0</v>
      </c>
      <c r="J1161" s="107">
        <v>0</v>
      </c>
      <c r="K1161" s="16" t="s">
        <v>1661</v>
      </c>
    </row>
    <row r="1162" spans="1:11" s="81" customFormat="1" x14ac:dyDescent="0.3">
      <c r="A1162" s="319" t="s">
        <v>1628</v>
      </c>
      <c r="B1162" s="320"/>
      <c r="C1162" s="321"/>
      <c r="D1162" s="68"/>
      <c r="E1162" s="65"/>
      <c r="F1162" s="192">
        <f>SUM(G1162:J1162)</f>
        <v>32201.30328</v>
      </c>
      <c r="G1162" s="192">
        <f>SUM(G1160:G1161)</f>
        <v>12201.30328</v>
      </c>
      <c r="H1162" s="192">
        <f>SUM(H1160:H1161)</f>
        <v>20000</v>
      </c>
      <c r="I1162" s="192">
        <f>SUM(I1160:I1161)</f>
        <v>0</v>
      </c>
      <c r="J1162" s="192">
        <f>SUM(J1160:J1161)</f>
        <v>0</v>
      </c>
      <c r="K1162" s="65"/>
    </row>
    <row r="1163" spans="1:11" s="68" customFormat="1" ht="26.4" x14ac:dyDescent="0.3">
      <c r="A1163" s="65">
        <v>1040</v>
      </c>
      <c r="B1163" s="245" t="s">
        <v>1799</v>
      </c>
      <c r="C1163" s="18" t="s">
        <v>1802</v>
      </c>
      <c r="D1163" s="16" t="s">
        <v>1652</v>
      </c>
      <c r="E1163" s="16" t="s">
        <v>19</v>
      </c>
      <c r="F1163" s="107">
        <f>12201303.28/1000</f>
        <v>12201.30328</v>
      </c>
      <c r="G1163" s="107">
        <v>0</v>
      </c>
      <c r="H1163" s="107">
        <f>12201303.28/1000</f>
        <v>12201.30328</v>
      </c>
      <c r="I1163" s="107">
        <v>0</v>
      </c>
      <c r="J1163" s="107">
        <v>0</v>
      </c>
      <c r="K1163" s="16" t="s">
        <v>1672</v>
      </c>
    </row>
    <row r="1164" spans="1:11" s="68" customFormat="1" ht="26.4" x14ac:dyDescent="0.3">
      <c r="A1164" s="65">
        <v>1041</v>
      </c>
      <c r="B1164" s="246"/>
      <c r="C1164" s="18" t="s">
        <v>1803</v>
      </c>
      <c r="D1164" s="16" t="s">
        <v>1691</v>
      </c>
      <c r="E1164" s="16" t="s">
        <v>19</v>
      </c>
      <c r="F1164" s="107">
        <f>20000000/1000</f>
        <v>20000</v>
      </c>
      <c r="G1164" s="107">
        <v>0</v>
      </c>
      <c r="H1164" s="107">
        <v>0</v>
      </c>
      <c r="I1164" s="107">
        <f>20000000/1000</f>
        <v>20000</v>
      </c>
      <c r="J1164" s="107">
        <v>0</v>
      </c>
      <c r="K1164" s="16" t="s">
        <v>1804</v>
      </c>
    </row>
    <row r="1165" spans="1:11" s="81" customFormat="1" x14ac:dyDescent="0.3">
      <c r="A1165" s="319" t="s">
        <v>1622</v>
      </c>
      <c r="B1165" s="320"/>
      <c r="C1165" s="321"/>
      <c r="D1165" s="16"/>
      <c r="E1165" s="65"/>
      <c r="F1165" s="192">
        <f>SUM(G1165:J1165)</f>
        <v>32201.30328</v>
      </c>
      <c r="G1165" s="192">
        <f>SUM(G1163:G1164)</f>
        <v>0</v>
      </c>
      <c r="H1165" s="192">
        <f>SUM(H1163:H1164)</f>
        <v>12201.30328</v>
      </c>
      <c r="I1165" s="192">
        <f t="shared" ref="I1165:J1165" si="100">SUM(I1163:I1164)</f>
        <v>20000</v>
      </c>
      <c r="J1165" s="192">
        <f t="shared" si="100"/>
        <v>0</v>
      </c>
      <c r="K1165" s="65"/>
    </row>
    <row r="1166" spans="1:11" s="68" customFormat="1" ht="26.4" x14ac:dyDescent="0.3">
      <c r="A1166" s="65">
        <v>1042</v>
      </c>
      <c r="B1166" s="66" t="s">
        <v>1799</v>
      </c>
      <c r="C1166" s="18" t="s">
        <v>1805</v>
      </c>
      <c r="D1166" s="16" t="s">
        <v>1652</v>
      </c>
      <c r="E1166" s="16" t="s">
        <v>19</v>
      </c>
      <c r="F1166" s="107">
        <f>12201303.28/1000</f>
        <v>12201.30328</v>
      </c>
      <c r="G1166" s="107">
        <v>0</v>
      </c>
      <c r="H1166" s="107">
        <v>0</v>
      </c>
      <c r="I1166" s="107">
        <f>12201303.28/1000</f>
        <v>12201.30328</v>
      </c>
      <c r="J1166" s="107">
        <v>0</v>
      </c>
      <c r="K1166" s="16" t="s">
        <v>1674</v>
      </c>
    </row>
    <row r="1167" spans="1:11" s="81" customFormat="1" x14ac:dyDescent="0.3">
      <c r="A1167" s="319" t="s">
        <v>1675</v>
      </c>
      <c r="B1167" s="320"/>
      <c r="C1167" s="321"/>
      <c r="D1167" s="84"/>
      <c r="E1167" s="65"/>
      <c r="F1167" s="192">
        <f t="shared" ref="F1167" si="101">SUM(G1167:J1167)</f>
        <v>12201.30328</v>
      </c>
      <c r="G1167" s="192">
        <f>SUM(G1166:G1166)</f>
        <v>0</v>
      </c>
      <c r="H1167" s="192">
        <f>SUM(H1166:H1166)</f>
        <v>0</v>
      </c>
      <c r="I1167" s="192">
        <f>SUM(I1166:I1166)</f>
        <v>12201.30328</v>
      </c>
      <c r="J1167" s="192">
        <f>SUM(J1166:J1166)</f>
        <v>0</v>
      </c>
      <c r="K1167" s="65"/>
    </row>
    <row r="1168" spans="1:11" s="68" customFormat="1" ht="26.4" x14ac:dyDescent="0.3">
      <c r="A1168" s="65">
        <v>1043</v>
      </c>
      <c r="B1168" s="245" t="s">
        <v>1806</v>
      </c>
      <c r="C1168" s="18" t="s">
        <v>1807</v>
      </c>
      <c r="D1168" s="80" t="s">
        <v>1691</v>
      </c>
      <c r="E1168" s="16" t="s">
        <v>19</v>
      </c>
      <c r="F1168" s="107">
        <f>10267260.72/1000</f>
        <v>10267.26072</v>
      </c>
      <c r="G1168" s="107">
        <v>0</v>
      </c>
      <c r="H1168" s="107">
        <f>10267260.72/1000</f>
        <v>10267.26072</v>
      </c>
      <c r="I1168" s="107">
        <v>0</v>
      </c>
      <c r="J1168" s="107">
        <v>0</v>
      </c>
      <c r="K1168" s="16" t="s">
        <v>1692</v>
      </c>
    </row>
    <row r="1169" spans="1:11" s="68" customFormat="1" ht="26.4" x14ac:dyDescent="0.3">
      <c r="A1169" s="65">
        <v>1044</v>
      </c>
      <c r="B1169" s="315"/>
      <c r="C1169" s="18" t="s">
        <v>1808</v>
      </c>
      <c r="D1169" s="80" t="s">
        <v>1809</v>
      </c>
      <c r="E1169" s="16" t="s">
        <v>19</v>
      </c>
      <c r="F1169" s="107">
        <f>1470552.74/1000</f>
        <v>1470.5527400000001</v>
      </c>
      <c r="G1169" s="107">
        <v>0</v>
      </c>
      <c r="H1169" s="107">
        <f>1470552.74/1000</f>
        <v>1470.5527400000001</v>
      </c>
      <c r="I1169" s="107">
        <v>0</v>
      </c>
      <c r="J1169" s="107">
        <v>0</v>
      </c>
      <c r="K1169" s="16" t="s">
        <v>1692</v>
      </c>
    </row>
    <row r="1170" spans="1:11" s="68" customFormat="1" ht="26.4" x14ac:dyDescent="0.3">
      <c r="A1170" s="65">
        <v>1045</v>
      </c>
      <c r="B1170" s="315"/>
      <c r="C1170" s="18" t="s">
        <v>1810</v>
      </c>
      <c r="D1170" s="80" t="s">
        <v>1652</v>
      </c>
      <c r="E1170" s="16" t="s">
        <v>19</v>
      </c>
      <c r="F1170" s="107">
        <f>597250/1000</f>
        <v>597.25</v>
      </c>
      <c r="G1170" s="107">
        <f>597250/1000</f>
        <v>597.25</v>
      </c>
      <c r="H1170" s="107">
        <v>0</v>
      </c>
      <c r="I1170" s="107">
        <v>0</v>
      </c>
      <c r="J1170" s="107">
        <v>0</v>
      </c>
      <c r="K1170" s="16" t="s">
        <v>1635</v>
      </c>
    </row>
    <row r="1171" spans="1:11" s="68" customFormat="1" ht="26.4" x14ac:dyDescent="0.3">
      <c r="A1171" s="65">
        <v>1046</v>
      </c>
      <c r="B1171" s="246"/>
      <c r="C1171" s="18" t="s">
        <v>1811</v>
      </c>
      <c r="D1171" s="80" t="s">
        <v>1652</v>
      </c>
      <c r="E1171" s="16" t="s">
        <v>19</v>
      </c>
      <c r="F1171" s="107">
        <f>3526548/1000</f>
        <v>3526.5479999999998</v>
      </c>
      <c r="G1171" s="107">
        <v>0</v>
      </c>
      <c r="H1171" s="107">
        <f>3526548/1000</f>
        <v>3526.5479999999998</v>
      </c>
      <c r="I1171" s="107">
        <v>0</v>
      </c>
      <c r="J1171" s="107">
        <v>0</v>
      </c>
      <c r="K1171" s="16" t="s">
        <v>1661</v>
      </c>
    </row>
    <row r="1172" spans="1:11" s="81" customFormat="1" x14ac:dyDescent="0.3">
      <c r="A1172" s="241" t="s">
        <v>1628</v>
      </c>
      <c r="B1172" s="241"/>
      <c r="C1172" s="241"/>
      <c r="D1172" s="87"/>
      <c r="E1172" s="65"/>
      <c r="F1172" s="192">
        <f>SUM(G1172:J1172)</f>
        <v>15861.61146</v>
      </c>
      <c r="G1172" s="192">
        <f>SUM(G1168:G1171)</f>
        <v>597.25</v>
      </c>
      <c r="H1172" s="192">
        <f>SUM(H1168:H1171)</f>
        <v>15264.36146</v>
      </c>
      <c r="I1172" s="192">
        <f>SUM(I1168:I1171)</f>
        <v>0</v>
      </c>
      <c r="J1172" s="192">
        <f>SUM(J1168:J1171)</f>
        <v>0</v>
      </c>
      <c r="K1172" s="65"/>
    </row>
    <row r="1173" spans="1:11" s="81" customFormat="1" ht="26.4" x14ac:dyDescent="0.3">
      <c r="A1173" s="65">
        <v>1047</v>
      </c>
      <c r="B1173" s="245" t="s">
        <v>1806</v>
      </c>
      <c r="C1173" s="18" t="s">
        <v>1812</v>
      </c>
      <c r="D1173" s="80" t="s">
        <v>1691</v>
      </c>
      <c r="E1173" s="16" t="s">
        <v>19</v>
      </c>
      <c r="F1173" s="107">
        <f>10267260.72/1000</f>
        <v>10267.26072</v>
      </c>
      <c r="G1173" s="107">
        <v>0</v>
      </c>
      <c r="H1173" s="107">
        <v>0</v>
      </c>
      <c r="I1173" s="107">
        <f>10267260.72/1000</f>
        <v>10267.26072</v>
      </c>
      <c r="J1173" s="107">
        <v>0</v>
      </c>
      <c r="K1173" s="16" t="s">
        <v>1707</v>
      </c>
    </row>
    <row r="1174" spans="1:11" s="81" customFormat="1" ht="26.4" x14ac:dyDescent="0.3">
      <c r="A1174" s="65">
        <v>1048</v>
      </c>
      <c r="B1174" s="246"/>
      <c r="C1174" s="18" t="s">
        <v>1813</v>
      </c>
      <c r="D1174" s="80" t="s">
        <v>1809</v>
      </c>
      <c r="E1174" s="16" t="s">
        <v>19</v>
      </c>
      <c r="F1174" s="107">
        <f>1470552.74/1000</f>
        <v>1470.5527400000001</v>
      </c>
      <c r="G1174" s="107">
        <v>0</v>
      </c>
      <c r="H1174" s="107">
        <v>0</v>
      </c>
      <c r="I1174" s="107">
        <f>1470552.74/1000</f>
        <v>1470.5527400000001</v>
      </c>
      <c r="J1174" s="107">
        <v>0</v>
      </c>
      <c r="K1174" s="16" t="s">
        <v>1707</v>
      </c>
    </row>
    <row r="1175" spans="1:11" s="81" customFormat="1" x14ac:dyDescent="0.3">
      <c r="A1175" s="319" t="s">
        <v>1622</v>
      </c>
      <c r="B1175" s="320"/>
      <c r="C1175" s="321"/>
      <c r="D1175" s="80"/>
      <c r="E1175" s="65"/>
      <c r="F1175" s="192">
        <f>SUM(G1175:J1175)</f>
        <v>11737.813460000001</v>
      </c>
      <c r="G1175" s="192">
        <f>SUM(G1173:G1174)</f>
        <v>0</v>
      </c>
      <c r="H1175" s="192">
        <f>SUM(H1173:H1174)</f>
        <v>0</v>
      </c>
      <c r="I1175" s="192">
        <f>SUM(I1173:I1174)</f>
        <v>11737.813460000001</v>
      </c>
      <c r="J1175" s="198">
        <f>SUM(J1173:J1174)</f>
        <v>0</v>
      </c>
      <c r="K1175" s="65"/>
    </row>
    <row r="1176" spans="1:11" s="68" customFormat="1" ht="26.4" x14ac:dyDescent="0.3">
      <c r="A1176" s="65">
        <v>1049</v>
      </c>
      <c r="B1176" s="66" t="s">
        <v>1806</v>
      </c>
      <c r="C1176" s="18" t="s">
        <v>1814</v>
      </c>
      <c r="D1176" s="80" t="s">
        <v>1652</v>
      </c>
      <c r="E1176" s="16" t="s">
        <v>19</v>
      </c>
      <c r="F1176" s="107">
        <f>3526548/1000</f>
        <v>3526.5479999999998</v>
      </c>
      <c r="G1176" s="107">
        <v>0</v>
      </c>
      <c r="H1176" s="107">
        <v>0</v>
      </c>
      <c r="I1176" s="107">
        <f>3526548/1000</f>
        <v>3526.5479999999998</v>
      </c>
      <c r="J1176" s="107">
        <v>0</v>
      </c>
      <c r="K1176" s="16" t="s">
        <v>1815</v>
      </c>
    </row>
    <row r="1177" spans="1:11" s="81" customFormat="1" x14ac:dyDescent="0.3">
      <c r="A1177" s="319" t="s">
        <v>1675</v>
      </c>
      <c r="B1177" s="320"/>
      <c r="C1177" s="321"/>
      <c r="D1177" s="84"/>
      <c r="E1177" s="65"/>
      <c r="F1177" s="192">
        <f t="shared" ref="F1177" si="102">SUM(G1177:J1177)</f>
        <v>3526.5479999999998</v>
      </c>
      <c r="G1177" s="192">
        <f>SUM(G1176:G1176)</f>
        <v>0</v>
      </c>
      <c r="H1177" s="192">
        <f>SUM(H1176:H1176)</f>
        <v>0</v>
      </c>
      <c r="I1177" s="192">
        <f>SUM(I1176:I1176)</f>
        <v>3526.5479999999998</v>
      </c>
      <c r="J1177" s="198">
        <f>SUM(J1176:J1176)</f>
        <v>0</v>
      </c>
      <c r="K1177" s="65"/>
    </row>
    <row r="1178" spans="1:11" s="81" customFormat="1" ht="26.4" x14ac:dyDescent="0.3">
      <c r="A1178" s="85">
        <v>1050</v>
      </c>
      <c r="B1178" s="66" t="s">
        <v>1816</v>
      </c>
      <c r="C1178" s="18" t="s">
        <v>1817</v>
      </c>
      <c r="D1178" s="16" t="s">
        <v>1818</v>
      </c>
      <c r="E1178" s="16" t="s">
        <v>19</v>
      </c>
      <c r="F1178" s="107">
        <f>10001010/1000</f>
        <v>10001.01</v>
      </c>
      <c r="G1178" s="107">
        <f>10001010/1000</f>
        <v>10001.01</v>
      </c>
      <c r="H1178" s="107">
        <v>0</v>
      </c>
      <c r="I1178" s="107">
        <v>0</v>
      </c>
      <c r="J1178" s="107">
        <v>0</v>
      </c>
      <c r="K1178" s="16" t="s">
        <v>1635</v>
      </c>
    </row>
    <row r="1179" spans="1:11" s="81" customFormat="1" x14ac:dyDescent="0.3">
      <c r="A1179" s="319" t="s">
        <v>1628</v>
      </c>
      <c r="B1179" s="320"/>
      <c r="C1179" s="321"/>
      <c r="D1179" s="68"/>
      <c r="E1179" s="65"/>
      <c r="F1179" s="192">
        <f>SUM(G1179:J1179)</f>
        <v>10001.01</v>
      </c>
      <c r="G1179" s="192">
        <f>SUM(G1178:G1178)</f>
        <v>10001.01</v>
      </c>
      <c r="H1179" s="192">
        <f>SUM(H1178:H1178)</f>
        <v>0</v>
      </c>
      <c r="I1179" s="192">
        <f>SUM(I1178:I1178)</f>
        <v>0</v>
      </c>
      <c r="J1179" s="198">
        <f>SUM(J1178:J1178)</f>
        <v>0</v>
      </c>
      <c r="K1179" s="65"/>
    </row>
    <row r="1180" spans="1:11" s="81" customFormat="1" ht="26.4" x14ac:dyDescent="0.3">
      <c r="A1180" s="79">
        <v>1051</v>
      </c>
      <c r="B1180" s="245" t="s">
        <v>1816</v>
      </c>
      <c r="C1180" s="18" t="s">
        <v>1819</v>
      </c>
      <c r="D1180" s="16" t="s">
        <v>1820</v>
      </c>
      <c r="E1180" s="16" t="s">
        <v>19</v>
      </c>
      <c r="F1180" s="107">
        <f>14726370/1000</f>
        <v>14726.37</v>
      </c>
      <c r="G1180" s="107">
        <v>0</v>
      </c>
      <c r="H1180" s="107">
        <f>14726370/1000</f>
        <v>14726.37</v>
      </c>
      <c r="I1180" s="107">
        <v>0</v>
      </c>
      <c r="J1180" s="107">
        <v>0</v>
      </c>
      <c r="K1180" s="16" t="s">
        <v>1672</v>
      </c>
    </row>
    <row r="1181" spans="1:11" s="81" customFormat="1" ht="26.4" x14ac:dyDescent="0.3">
      <c r="A1181" s="136">
        <v>1052</v>
      </c>
      <c r="B1181" s="246"/>
      <c r="C1181" s="18" t="s">
        <v>1821</v>
      </c>
      <c r="D1181" s="16" t="s">
        <v>1660</v>
      </c>
      <c r="E1181" s="16" t="s">
        <v>19</v>
      </c>
      <c r="F1181" s="107">
        <f>26819039/1000</f>
        <v>26819.039000000001</v>
      </c>
      <c r="G1181" s="107">
        <v>0</v>
      </c>
      <c r="H1181" s="107">
        <f>26819039/1000</f>
        <v>26819.039000000001</v>
      </c>
      <c r="I1181" s="107">
        <v>0</v>
      </c>
      <c r="J1181" s="107">
        <v>0</v>
      </c>
      <c r="K1181" s="16" t="s">
        <v>1672</v>
      </c>
    </row>
    <row r="1182" spans="1:11" s="81" customFormat="1" x14ac:dyDescent="0.3">
      <c r="A1182" s="319" t="s">
        <v>1622</v>
      </c>
      <c r="B1182" s="320"/>
      <c r="C1182" s="321"/>
      <c r="D1182" s="16"/>
      <c r="E1182" s="65"/>
      <c r="F1182" s="192">
        <f>SUM(G1182:J1182)</f>
        <v>41545.409</v>
      </c>
      <c r="G1182" s="192">
        <f>SUM(G1180:G1181)</f>
        <v>0</v>
      </c>
      <c r="H1182" s="192">
        <f>SUM(H1180:H1181)</f>
        <v>41545.409</v>
      </c>
      <c r="I1182" s="192">
        <f>SUM(I1180:I1181)</f>
        <v>0</v>
      </c>
      <c r="J1182" s="198">
        <f>SUM(J1180:J1181)</f>
        <v>0</v>
      </c>
      <c r="K1182" s="65"/>
    </row>
    <row r="1183" spans="1:11" s="81" customFormat="1" ht="26.4" x14ac:dyDescent="0.3">
      <c r="A1183" s="79">
        <v>1053</v>
      </c>
      <c r="B1183" s="245" t="s">
        <v>1816</v>
      </c>
      <c r="C1183" s="18" t="s">
        <v>1822</v>
      </c>
      <c r="D1183" s="16" t="s">
        <v>1823</v>
      </c>
      <c r="E1183" s="16" t="s">
        <v>19</v>
      </c>
      <c r="F1183" s="107">
        <f>14726370/1000</f>
        <v>14726.37</v>
      </c>
      <c r="G1183" s="107">
        <v>0</v>
      </c>
      <c r="H1183" s="107">
        <v>0</v>
      </c>
      <c r="I1183" s="107">
        <f>14726370/1000</f>
        <v>14726.37</v>
      </c>
      <c r="J1183" s="107">
        <v>0</v>
      </c>
      <c r="K1183" s="16" t="s">
        <v>1674</v>
      </c>
    </row>
    <row r="1184" spans="1:11" s="81" customFormat="1" ht="26.4" x14ac:dyDescent="0.3">
      <c r="A1184" s="79">
        <v>1054</v>
      </c>
      <c r="B1184" s="246"/>
      <c r="C1184" s="18" t="s">
        <v>1824</v>
      </c>
      <c r="D1184" s="16" t="s">
        <v>1660</v>
      </c>
      <c r="E1184" s="16" t="s">
        <v>19</v>
      </c>
      <c r="F1184" s="107">
        <f>26819039/1000</f>
        <v>26819.039000000001</v>
      </c>
      <c r="G1184" s="107">
        <v>0</v>
      </c>
      <c r="H1184" s="107">
        <v>0</v>
      </c>
      <c r="I1184" s="107">
        <f>26819039/1000</f>
        <v>26819.039000000001</v>
      </c>
      <c r="J1184" s="107">
        <v>0</v>
      </c>
      <c r="K1184" s="16" t="s">
        <v>1674</v>
      </c>
    </row>
    <row r="1185" spans="1:11" s="81" customFormat="1" x14ac:dyDescent="0.3">
      <c r="A1185" s="319" t="s">
        <v>1675</v>
      </c>
      <c r="B1185" s="320"/>
      <c r="C1185" s="321"/>
      <c r="D1185" s="84"/>
      <c r="E1185" s="65"/>
      <c r="F1185" s="192">
        <f>SUM(G1185:J1185)</f>
        <v>41545.409</v>
      </c>
      <c r="G1185" s="192">
        <f>SUM(G1183:G1184)</f>
        <v>0</v>
      </c>
      <c r="H1185" s="192">
        <f>SUM(H1183:H1184)</f>
        <v>0</v>
      </c>
      <c r="I1185" s="192">
        <f>SUM(I1183:I1184)</f>
        <v>41545.409</v>
      </c>
      <c r="J1185" s="192">
        <f>SUM(J1183:J1184)</f>
        <v>0</v>
      </c>
      <c r="K1185" s="65"/>
    </row>
    <row r="1186" spans="1:11" s="68" customFormat="1" ht="26.4" x14ac:dyDescent="0.3">
      <c r="A1186" s="87">
        <v>1055</v>
      </c>
      <c r="B1186" s="245" t="s">
        <v>1825</v>
      </c>
      <c r="C1186" s="18" t="s">
        <v>1826</v>
      </c>
      <c r="D1186" s="80" t="s">
        <v>1652</v>
      </c>
      <c r="E1186" s="16" t="s">
        <v>19</v>
      </c>
      <c r="F1186" s="107">
        <f>216300/1000</f>
        <v>216.3</v>
      </c>
      <c r="G1186" s="107">
        <f>216300/1000</f>
        <v>216.3</v>
      </c>
      <c r="H1186" s="107">
        <v>0</v>
      </c>
      <c r="I1186" s="107">
        <v>0</v>
      </c>
      <c r="J1186" s="107">
        <v>0</v>
      </c>
      <c r="K1186" s="16" t="s">
        <v>1635</v>
      </c>
    </row>
    <row r="1187" spans="1:11" s="68" customFormat="1" ht="26.4" x14ac:dyDescent="0.3">
      <c r="A1187" s="65">
        <v>1056</v>
      </c>
      <c r="B1187" s="315"/>
      <c r="C1187" s="18" t="s">
        <v>1827</v>
      </c>
      <c r="D1187" s="80" t="s">
        <v>1652</v>
      </c>
      <c r="E1187" s="16" t="s">
        <v>19</v>
      </c>
      <c r="F1187" s="107">
        <f>330500/1000</f>
        <v>330.5</v>
      </c>
      <c r="G1187" s="107">
        <f>330500/1000</f>
        <v>330.5</v>
      </c>
      <c r="H1187" s="107">
        <v>0</v>
      </c>
      <c r="I1187" s="107">
        <v>0</v>
      </c>
      <c r="J1187" s="107">
        <v>0</v>
      </c>
      <c r="K1187" s="16" t="s">
        <v>1635</v>
      </c>
    </row>
    <row r="1188" spans="1:11" s="68" customFormat="1" ht="26.4" x14ac:dyDescent="0.3">
      <c r="A1188" s="87">
        <v>1057</v>
      </c>
      <c r="B1188" s="315"/>
      <c r="C1188" s="18" t="s">
        <v>1828</v>
      </c>
      <c r="D1188" s="80" t="s">
        <v>1666</v>
      </c>
      <c r="E1188" s="16" t="s">
        <v>19</v>
      </c>
      <c r="F1188" s="107">
        <f>382564/1000</f>
        <v>382.56400000000002</v>
      </c>
      <c r="G1188" s="107">
        <f>382564/1000</f>
        <v>382.56400000000002</v>
      </c>
      <c r="H1188" s="107">
        <v>0</v>
      </c>
      <c r="I1188" s="107">
        <v>0</v>
      </c>
      <c r="J1188" s="107">
        <v>0</v>
      </c>
      <c r="K1188" s="16" t="s">
        <v>1635</v>
      </c>
    </row>
    <row r="1189" spans="1:11" s="68" customFormat="1" ht="26.4" x14ac:dyDescent="0.3">
      <c r="A1189" s="65">
        <v>1058</v>
      </c>
      <c r="B1189" s="315"/>
      <c r="C1189" s="18" t="s">
        <v>1829</v>
      </c>
      <c r="D1189" s="80" t="s">
        <v>1830</v>
      </c>
      <c r="E1189" s="16" t="s">
        <v>19</v>
      </c>
      <c r="F1189" s="107">
        <f>4500000/1000</f>
        <v>4500</v>
      </c>
      <c r="G1189" s="107">
        <v>0</v>
      </c>
      <c r="H1189" s="107">
        <f>4500000/1000</f>
        <v>4500</v>
      </c>
      <c r="I1189" s="107">
        <v>0</v>
      </c>
      <c r="J1189" s="107">
        <v>0</v>
      </c>
      <c r="K1189" s="16" t="s">
        <v>1661</v>
      </c>
    </row>
    <row r="1190" spans="1:11" s="68" customFormat="1" ht="26.4" x14ac:dyDescent="0.3">
      <c r="A1190" s="87">
        <v>1059</v>
      </c>
      <c r="B1190" s="315"/>
      <c r="C1190" s="18" t="s">
        <v>1831</v>
      </c>
      <c r="D1190" s="80" t="s">
        <v>1691</v>
      </c>
      <c r="E1190" s="16" t="s">
        <v>19</v>
      </c>
      <c r="F1190" s="107">
        <f>6500000/1000</f>
        <v>6500</v>
      </c>
      <c r="G1190" s="107">
        <v>0</v>
      </c>
      <c r="H1190" s="107">
        <f>6500000/1000</f>
        <v>6500</v>
      </c>
      <c r="I1190" s="107">
        <v>0</v>
      </c>
      <c r="J1190" s="107">
        <v>0</v>
      </c>
      <c r="K1190" s="16" t="s">
        <v>1661</v>
      </c>
    </row>
    <row r="1191" spans="1:11" s="68" customFormat="1" ht="26.4" x14ac:dyDescent="0.3">
      <c r="A1191" s="65">
        <v>1060</v>
      </c>
      <c r="B1191" s="315"/>
      <c r="C1191" s="92" t="s">
        <v>1832</v>
      </c>
      <c r="D1191" s="93" t="s">
        <v>1691</v>
      </c>
      <c r="E1191" s="16" t="s">
        <v>19</v>
      </c>
      <c r="F1191" s="107">
        <f>5304615.16/1000</f>
        <v>5304.6151600000003</v>
      </c>
      <c r="G1191" s="107">
        <v>0</v>
      </c>
      <c r="H1191" s="107">
        <f>5304615.16/1000</f>
        <v>5304.6151600000003</v>
      </c>
      <c r="I1191" s="107">
        <v>0</v>
      </c>
      <c r="J1191" s="107">
        <v>0</v>
      </c>
      <c r="K1191" s="16" t="s">
        <v>1833</v>
      </c>
    </row>
    <row r="1192" spans="1:11" s="94" customFormat="1" ht="26.4" x14ac:dyDescent="0.3">
      <c r="A1192" s="87">
        <v>1061</v>
      </c>
      <c r="B1192" s="246"/>
      <c r="C1192" s="18" t="s">
        <v>1834</v>
      </c>
      <c r="D1192" s="80" t="s">
        <v>1835</v>
      </c>
      <c r="E1192" s="16" t="s">
        <v>19</v>
      </c>
      <c r="F1192" s="107">
        <f>4700000/1000</f>
        <v>4700</v>
      </c>
      <c r="G1192" s="107">
        <v>0</v>
      </c>
      <c r="H1192" s="107">
        <f>3500000/1000</f>
        <v>3500</v>
      </c>
      <c r="I1192" s="107">
        <f>1200000/1000</f>
        <v>1200</v>
      </c>
      <c r="J1192" s="107">
        <v>0</v>
      </c>
      <c r="K1192" s="16" t="s">
        <v>1836</v>
      </c>
    </row>
    <row r="1193" spans="1:11" s="81" customFormat="1" x14ac:dyDescent="0.3">
      <c r="A1193" s="325" t="s">
        <v>1628</v>
      </c>
      <c r="B1193" s="326"/>
      <c r="C1193" s="327"/>
      <c r="D1193" s="65"/>
      <c r="E1193" s="83"/>
      <c r="F1193" s="206">
        <f>SUM(G1193:J1193)</f>
        <v>21933.979160000003</v>
      </c>
      <c r="G1193" s="206">
        <f>SUM(G1186:G1192)</f>
        <v>929.36400000000003</v>
      </c>
      <c r="H1193" s="206">
        <f>SUM(H1186:H1192)</f>
        <v>19804.615160000001</v>
      </c>
      <c r="I1193" s="206">
        <f>SUM(I1186:I1192)</f>
        <v>1200</v>
      </c>
      <c r="J1193" s="206">
        <f>SUM(J1186:J1192)</f>
        <v>0</v>
      </c>
      <c r="K1193" s="83"/>
    </row>
    <row r="1194" spans="1:11" s="68" customFormat="1" ht="26.4" x14ac:dyDescent="0.3">
      <c r="A1194" s="65">
        <v>1062</v>
      </c>
      <c r="B1194" s="66" t="s">
        <v>1825</v>
      </c>
      <c r="C1194" s="18" t="s">
        <v>1837</v>
      </c>
      <c r="D1194" s="16" t="s">
        <v>1691</v>
      </c>
      <c r="E1194" s="16" t="s">
        <v>19</v>
      </c>
      <c r="F1194" s="107">
        <f>16304615.16/1000</f>
        <v>16304.615159999999</v>
      </c>
      <c r="G1194" s="107">
        <v>0</v>
      </c>
      <c r="H1194" s="107">
        <v>0</v>
      </c>
      <c r="I1194" s="107">
        <f>16304615.16/1000</f>
        <v>16304.615159999999</v>
      </c>
      <c r="J1194" s="107">
        <v>0</v>
      </c>
      <c r="K1194" s="16" t="s">
        <v>1838</v>
      </c>
    </row>
    <row r="1195" spans="1:11" s="81" customFormat="1" x14ac:dyDescent="0.3">
      <c r="A1195" s="319" t="s">
        <v>1622</v>
      </c>
      <c r="B1195" s="320"/>
      <c r="C1195" s="321"/>
      <c r="D1195" s="16"/>
      <c r="E1195" s="65"/>
      <c r="F1195" s="192">
        <f>SUM(G1195:J1195)</f>
        <v>16304.615159999999</v>
      </c>
      <c r="G1195" s="192">
        <f>SUM(G1194:G1194)</f>
        <v>0</v>
      </c>
      <c r="H1195" s="192">
        <f>SUM(H1194:H1194)</f>
        <v>0</v>
      </c>
      <c r="I1195" s="192">
        <f>SUM(I1194:I1194)</f>
        <v>16304.615159999999</v>
      </c>
      <c r="J1195" s="192">
        <f>SUM(J1194:J1194)</f>
        <v>0</v>
      </c>
      <c r="K1195" s="65"/>
    </row>
    <row r="1196" spans="1:11" s="81" customFormat="1" ht="26.4" x14ac:dyDescent="0.3">
      <c r="A1196" s="65">
        <v>1063</v>
      </c>
      <c r="B1196" s="245" t="s">
        <v>1839</v>
      </c>
      <c r="C1196" s="18" t="s">
        <v>1840</v>
      </c>
      <c r="D1196" s="80" t="s">
        <v>1841</v>
      </c>
      <c r="E1196" s="16" t="s">
        <v>19</v>
      </c>
      <c r="F1196" s="107">
        <f>707300/1000</f>
        <v>707.3</v>
      </c>
      <c r="G1196" s="107">
        <v>0</v>
      </c>
      <c r="H1196" s="107">
        <f>707300/1000</f>
        <v>707.3</v>
      </c>
      <c r="I1196" s="107">
        <v>0</v>
      </c>
      <c r="J1196" s="107">
        <v>0</v>
      </c>
      <c r="K1196" s="16" t="s">
        <v>1692</v>
      </c>
    </row>
    <row r="1197" spans="1:11" s="81" customFormat="1" ht="26.4" x14ac:dyDescent="0.3">
      <c r="A1197" s="65">
        <v>1064</v>
      </c>
      <c r="B1197" s="315"/>
      <c r="C1197" s="18" t="s">
        <v>1842</v>
      </c>
      <c r="D1197" s="80" t="s">
        <v>1691</v>
      </c>
      <c r="E1197" s="16" t="s">
        <v>19</v>
      </c>
      <c r="F1197" s="107">
        <f>960520/1000</f>
        <v>960.52</v>
      </c>
      <c r="G1197" s="107">
        <v>0</v>
      </c>
      <c r="H1197" s="107">
        <f>960520/1000</f>
        <v>960.52</v>
      </c>
      <c r="I1197" s="107">
        <v>0</v>
      </c>
      <c r="J1197" s="107">
        <v>0</v>
      </c>
      <c r="K1197" s="16" t="s">
        <v>1661</v>
      </c>
    </row>
    <row r="1198" spans="1:11" s="81" customFormat="1" ht="26.4" x14ac:dyDescent="0.3">
      <c r="A1198" s="65">
        <v>1065</v>
      </c>
      <c r="B1198" s="315"/>
      <c r="C1198" s="18" t="s">
        <v>1843</v>
      </c>
      <c r="D1198" s="80" t="s">
        <v>1844</v>
      </c>
      <c r="E1198" s="16" t="s">
        <v>19</v>
      </c>
      <c r="F1198" s="107">
        <f>1353660/1000</f>
        <v>1353.66</v>
      </c>
      <c r="G1198" s="107">
        <v>0</v>
      </c>
      <c r="H1198" s="107">
        <f>1353660/1000</f>
        <v>1353.66</v>
      </c>
      <c r="I1198" s="107">
        <v>0</v>
      </c>
      <c r="J1198" s="107">
        <v>0</v>
      </c>
      <c r="K1198" s="16" t="s">
        <v>1661</v>
      </c>
    </row>
    <row r="1199" spans="1:11" s="81" customFormat="1" ht="26.4" x14ac:dyDescent="0.3">
      <c r="A1199" s="65">
        <v>1066</v>
      </c>
      <c r="B1199" s="315"/>
      <c r="C1199" s="18" t="s">
        <v>1845</v>
      </c>
      <c r="D1199" s="80" t="s">
        <v>1691</v>
      </c>
      <c r="E1199" s="16" t="s">
        <v>19</v>
      </c>
      <c r="F1199" s="107">
        <f>1582962/1000</f>
        <v>1582.962</v>
      </c>
      <c r="G1199" s="107">
        <v>0</v>
      </c>
      <c r="H1199" s="107">
        <f>1582962/1000</f>
        <v>1582.962</v>
      </c>
      <c r="I1199" s="107">
        <v>0</v>
      </c>
      <c r="J1199" s="107">
        <v>0</v>
      </c>
      <c r="K1199" s="16" t="s">
        <v>1661</v>
      </c>
    </row>
    <row r="1200" spans="1:11" s="81" customFormat="1" ht="26.4" x14ac:dyDescent="0.3">
      <c r="A1200" s="65">
        <v>1067</v>
      </c>
      <c r="B1200" s="315"/>
      <c r="C1200" s="18" t="s">
        <v>1846</v>
      </c>
      <c r="D1200" s="80" t="s">
        <v>1847</v>
      </c>
      <c r="E1200" s="16" t="s">
        <v>19</v>
      </c>
      <c r="F1200" s="107">
        <f>2259400/1000</f>
        <v>2259.4</v>
      </c>
      <c r="G1200" s="107">
        <v>0</v>
      </c>
      <c r="H1200" s="107">
        <f>2259400/1000</f>
        <v>2259.4</v>
      </c>
      <c r="I1200" s="107">
        <v>0</v>
      </c>
      <c r="J1200" s="107">
        <v>0</v>
      </c>
      <c r="K1200" s="16" t="s">
        <v>1848</v>
      </c>
    </row>
    <row r="1201" spans="1:11" s="81" customFormat="1" ht="26.4" x14ac:dyDescent="0.3">
      <c r="A1201" s="65">
        <v>1068</v>
      </c>
      <c r="B1201" s="315"/>
      <c r="C1201" s="18" t="s">
        <v>1849</v>
      </c>
      <c r="D1201" s="80" t="s">
        <v>1688</v>
      </c>
      <c r="E1201" s="16" t="s">
        <v>19</v>
      </c>
      <c r="F1201" s="107">
        <f>1743000/1000</f>
        <v>1743</v>
      </c>
      <c r="G1201" s="107">
        <v>0</v>
      </c>
      <c r="H1201" s="107">
        <f>1743000/1000</f>
        <v>1743</v>
      </c>
      <c r="I1201" s="107">
        <v>0</v>
      </c>
      <c r="J1201" s="107">
        <v>0</v>
      </c>
      <c r="K1201" s="16" t="s">
        <v>1692</v>
      </c>
    </row>
    <row r="1202" spans="1:11" s="81" customFormat="1" ht="26.4" x14ac:dyDescent="0.3">
      <c r="A1202" s="65">
        <v>1069</v>
      </c>
      <c r="B1202" s="315"/>
      <c r="C1202" s="18" t="s">
        <v>1850</v>
      </c>
      <c r="D1202" s="80" t="s">
        <v>1660</v>
      </c>
      <c r="E1202" s="16" t="s">
        <v>19</v>
      </c>
      <c r="F1202" s="107">
        <f>4439556/1000</f>
        <v>4439.5559999999996</v>
      </c>
      <c r="G1202" s="107">
        <v>0</v>
      </c>
      <c r="H1202" s="107">
        <f>4439556/1000</f>
        <v>4439.5559999999996</v>
      </c>
      <c r="I1202" s="107">
        <v>0</v>
      </c>
      <c r="J1202" s="107">
        <v>0</v>
      </c>
      <c r="K1202" s="16" t="s">
        <v>1833</v>
      </c>
    </row>
    <row r="1203" spans="1:11" s="81" customFormat="1" ht="26.4" x14ac:dyDescent="0.3">
      <c r="A1203" s="65">
        <v>1070</v>
      </c>
      <c r="B1203" s="315"/>
      <c r="C1203" s="18" t="s">
        <v>1851</v>
      </c>
      <c r="D1203" s="80" t="s">
        <v>1691</v>
      </c>
      <c r="E1203" s="16" t="s">
        <v>19</v>
      </c>
      <c r="F1203" s="107">
        <f>3398864/1000</f>
        <v>3398.864</v>
      </c>
      <c r="G1203" s="107">
        <v>0</v>
      </c>
      <c r="H1203" s="107">
        <f>3398864/1000</f>
        <v>3398.864</v>
      </c>
      <c r="I1203" s="107">
        <v>0</v>
      </c>
      <c r="J1203" s="107">
        <v>0</v>
      </c>
      <c r="K1203" s="16" t="s">
        <v>1661</v>
      </c>
    </row>
    <row r="1204" spans="1:11" s="81" customFormat="1" ht="26.4" x14ac:dyDescent="0.3">
      <c r="A1204" s="65">
        <v>1071</v>
      </c>
      <c r="B1204" s="315"/>
      <c r="C1204" s="18" t="s">
        <v>1852</v>
      </c>
      <c r="D1204" s="80" t="s">
        <v>182</v>
      </c>
      <c r="E1204" s="16" t="s">
        <v>19</v>
      </c>
      <c r="F1204" s="107">
        <f>998200/1000</f>
        <v>998.2</v>
      </c>
      <c r="G1204" s="107">
        <f>998200/1000</f>
        <v>998.2</v>
      </c>
      <c r="H1204" s="107">
        <v>0</v>
      </c>
      <c r="I1204" s="107">
        <v>0</v>
      </c>
      <c r="J1204" s="107">
        <v>0</v>
      </c>
      <c r="K1204" s="16" t="s">
        <v>1635</v>
      </c>
    </row>
    <row r="1205" spans="1:11" s="81" customFormat="1" ht="26.4" x14ac:dyDescent="0.3">
      <c r="A1205" s="65">
        <v>1072</v>
      </c>
      <c r="B1205" s="315"/>
      <c r="C1205" s="18" t="s">
        <v>1853</v>
      </c>
      <c r="D1205" s="80" t="s">
        <v>1652</v>
      </c>
      <c r="E1205" s="16" t="s">
        <v>19</v>
      </c>
      <c r="F1205" s="107">
        <f>922000/1000</f>
        <v>922</v>
      </c>
      <c r="G1205" s="107">
        <f>922000/1000</f>
        <v>922</v>
      </c>
      <c r="H1205" s="107">
        <v>0</v>
      </c>
      <c r="I1205" s="107">
        <v>0</v>
      </c>
      <c r="J1205" s="107">
        <v>0</v>
      </c>
      <c r="K1205" s="16" t="s">
        <v>1635</v>
      </c>
    </row>
    <row r="1206" spans="1:11" s="81" customFormat="1" ht="26.4" x14ac:dyDescent="0.3">
      <c r="A1206" s="65">
        <v>1073</v>
      </c>
      <c r="B1206" s="315"/>
      <c r="C1206" s="18" t="s">
        <v>1854</v>
      </c>
      <c r="D1206" s="80" t="s">
        <v>1855</v>
      </c>
      <c r="E1206" s="16" t="s">
        <v>19</v>
      </c>
      <c r="F1206" s="107">
        <f>373200/1000</f>
        <v>373.2</v>
      </c>
      <c r="G1206" s="107">
        <f>373200/1000</f>
        <v>373.2</v>
      </c>
      <c r="H1206" s="107">
        <v>0</v>
      </c>
      <c r="I1206" s="107">
        <v>0</v>
      </c>
      <c r="J1206" s="107">
        <v>0</v>
      </c>
      <c r="K1206" s="16" t="s">
        <v>1635</v>
      </c>
    </row>
    <row r="1207" spans="1:11" s="81" customFormat="1" ht="26.4" x14ac:dyDescent="0.3">
      <c r="A1207" s="65">
        <v>1074</v>
      </c>
      <c r="B1207" s="315"/>
      <c r="C1207" s="18" t="s">
        <v>1856</v>
      </c>
      <c r="D1207" s="80" t="s">
        <v>1652</v>
      </c>
      <c r="E1207" s="16" t="s">
        <v>19</v>
      </c>
      <c r="F1207" s="107">
        <f>988200/1000</f>
        <v>988.2</v>
      </c>
      <c r="G1207" s="107">
        <f>988200/1000</f>
        <v>988.2</v>
      </c>
      <c r="H1207" s="107">
        <v>0</v>
      </c>
      <c r="I1207" s="107">
        <v>0</v>
      </c>
      <c r="J1207" s="107">
        <v>0</v>
      </c>
      <c r="K1207" s="16" t="s">
        <v>1635</v>
      </c>
    </row>
    <row r="1208" spans="1:11" s="81" customFormat="1" ht="26.4" x14ac:dyDescent="0.3">
      <c r="A1208" s="65">
        <v>1075</v>
      </c>
      <c r="B1208" s="246"/>
      <c r="C1208" s="18" t="s">
        <v>1857</v>
      </c>
      <c r="D1208" s="80" t="s">
        <v>1858</v>
      </c>
      <c r="E1208" s="16" t="s">
        <v>19</v>
      </c>
      <c r="F1208" s="107">
        <f>840000/1000</f>
        <v>840</v>
      </c>
      <c r="G1208" s="107">
        <f>840000/1000</f>
        <v>840</v>
      </c>
      <c r="H1208" s="107">
        <v>0</v>
      </c>
      <c r="I1208" s="107">
        <v>0</v>
      </c>
      <c r="J1208" s="107">
        <v>0</v>
      </c>
      <c r="K1208" s="16" t="s">
        <v>1635</v>
      </c>
    </row>
    <row r="1209" spans="1:11" s="81" customFormat="1" x14ac:dyDescent="0.3">
      <c r="A1209" s="319" t="s">
        <v>1628</v>
      </c>
      <c r="B1209" s="320"/>
      <c r="C1209" s="321"/>
      <c r="D1209" s="89"/>
      <c r="E1209" s="65"/>
      <c r="F1209" s="192">
        <f>SUM(G1209:J1209)</f>
        <v>20566.862000000001</v>
      </c>
      <c r="G1209" s="192">
        <f>SUM(G1196:G1208)</f>
        <v>4121.6000000000004</v>
      </c>
      <c r="H1209" s="192">
        <f>SUM(H1196:H1208)</f>
        <v>16445.262000000002</v>
      </c>
      <c r="I1209" s="192">
        <f>SUM(I1196:I1208)</f>
        <v>0</v>
      </c>
      <c r="J1209" s="192">
        <f>SUM(J1198:J1199)</f>
        <v>0</v>
      </c>
      <c r="K1209" s="65"/>
    </row>
    <row r="1210" spans="1:11" s="81" customFormat="1" ht="26.4" x14ac:dyDescent="0.3">
      <c r="A1210" s="65">
        <v>1076</v>
      </c>
      <c r="B1210" s="245" t="s">
        <v>1839</v>
      </c>
      <c r="C1210" s="18" t="s">
        <v>1859</v>
      </c>
      <c r="D1210" s="80" t="s">
        <v>1691</v>
      </c>
      <c r="E1210" s="16" t="s">
        <v>19</v>
      </c>
      <c r="F1210" s="107">
        <f>10000000/1000</f>
        <v>10000</v>
      </c>
      <c r="G1210" s="107">
        <v>0</v>
      </c>
      <c r="H1210" s="107">
        <v>0</v>
      </c>
      <c r="I1210" s="107">
        <f>10000000/1000</f>
        <v>10000</v>
      </c>
      <c r="J1210" s="107">
        <v>0</v>
      </c>
      <c r="K1210" s="16" t="s">
        <v>1804</v>
      </c>
    </row>
    <row r="1211" spans="1:11" s="81" customFormat="1" ht="26.4" x14ac:dyDescent="0.3">
      <c r="A1211" s="79">
        <v>1077</v>
      </c>
      <c r="B1211" s="246"/>
      <c r="C1211" s="18" t="s">
        <v>1860</v>
      </c>
      <c r="D1211" s="80" t="s">
        <v>1652</v>
      </c>
      <c r="E1211" s="16" t="s">
        <v>19</v>
      </c>
      <c r="F1211" s="107">
        <f>5000000/1000</f>
        <v>5000</v>
      </c>
      <c r="G1211" s="107">
        <v>0</v>
      </c>
      <c r="H1211" s="107">
        <f>5000000/1000</f>
        <v>5000</v>
      </c>
      <c r="I1211" s="107">
        <v>0</v>
      </c>
      <c r="J1211" s="107">
        <v>0</v>
      </c>
      <c r="K1211" s="16" t="s">
        <v>1672</v>
      </c>
    </row>
    <row r="1212" spans="1:11" s="81" customFormat="1" x14ac:dyDescent="0.3">
      <c r="A1212" s="319" t="s">
        <v>1622</v>
      </c>
      <c r="B1212" s="320"/>
      <c r="C1212" s="321"/>
      <c r="D1212" s="80"/>
      <c r="E1212" s="65"/>
      <c r="F1212" s="192">
        <f>SUM(G1212:J1212)</f>
        <v>15000</v>
      </c>
      <c r="G1212" s="192">
        <f>SUM(G1210:G1211)</f>
        <v>0</v>
      </c>
      <c r="H1212" s="192">
        <f>SUM(H1210:H1211)</f>
        <v>5000</v>
      </c>
      <c r="I1212" s="192">
        <f>SUM(I1210:I1211)</f>
        <v>10000</v>
      </c>
      <c r="J1212" s="198">
        <f>SUM(J1210:J1210)</f>
        <v>0</v>
      </c>
      <c r="K1212" s="65"/>
    </row>
    <row r="1213" spans="1:11" s="81" customFormat="1" ht="26.4" x14ac:dyDescent="0.3">
      <c r="A1213" s="79">
        <v>1078</v>
      </c>
      <c r="B1213" s="66" t="s">
        <v>1839</v>
      </c>
      <c r="C1213" s="18" t="s">
        <v>1861</v>
      </c>
      <c r="D1213" s="80" t="s">
        <v>1652</v>
      </c>
      <c r="E1213" s="16" t="s">
        <v>19</v>
      </c>
      <c r="F1213" s="107">
        <f>6000000/1000</f>
        <v>6000</v>
      </c>
      <c r="G1213" s="107">
        <v>0</v>
      </c>
      <c r="H1213" s="107">
        <v>0</v>
      </c>
      <c r="I1213" s="107">
        <f>6000000/1000</f>
        <v>6000</v>
      </c>
      <c r="J1213" s="107">
        <v>0</v>
      </c>
      <c r="K1213" s="16" t="s">
        <v>1674</v>
      </c>
    </row>
    <row r="1214" spans="1:11" s="81" customFormat="1" x14ac:dyDescent="0.3">
      <c r="A1214" s="319" t="s">
        <v>1675</v>
      </c>
      <c r="B1214" s="320"/>
      <c r="C1214" s="321"/>
      <c r="D1214" s="84"/>
      <c r="E1214" s="65"/>
      <c r="F1214" s="192">
        <f>SUM(G1214:J1214)</f>
        <v>6000</v>
      </c>
      <c r="G1214" s="192">
        <f>SUM(G1213:G1213)</f>
        <v>0</v>
      </c>
      <c r="H1214" s="192">
        <f>SUM(H1213)</f>
        <v>0</v>
      </c>
      <c r="I1214" s="192">
        <f>SUM(I1213:I1213)</f>
        <v>6000</v>
      </c>
      <c r="J1214" s="198">
        <f>SUM(J1213:J1213)</f>
        <v>0</v>
      </c>
      <c r="K1214" s="65"/>
    </row>
    <row r="1215" spans="1:11" s="68" customFormat="1" ht="26.4" x14ac:dyDescent="0.3">
      <c r="A1215" s="87">
        <v>1079</v>
      </c>
      <c r="B1215" s="66" t="s">
        <v>1862</v>
      </c>
      <c r="C1215" s="18" t="s">
        <v>1863</v>
      </c>
      <c r="D1215" s="16" t="s">
        <v>1691</v>
      </c>
      <c r="E1215" s="16" t="s">
        <v>19</v>
      </c>
      <c r="F1215" s="107">
        <f>18563753/1000</f>
        <v>18563.753000000001</v>
      </c>
      <c r="G1215" s="107">
        <v>0</v>
      </c>
      <c r="H1215" s="107">
        <f>18563753/1000</f>
        <v>18563.753000000001</v>
      </c>
      <c r="I1215" s="107">
        <v>0</v>
      </c>
      <c r="J1215" s="107">
        <v>0</v>
      </c>
      <c r="K1215" s="16" t="s">
        <v>1692</v>
      </c>
    </row>
    <row r="1216" spans="1:11" s="81" customFormat="1" x14ac:dyDescent="0.3">
      <c r="A1216" s="319" t="s">
        <v>1628</v>
      </c>
      <c r="B1216" s="320"/>
      <c r="C1216" s="321"/>
      <c r="D1216" s="68"/>
      <c r="E1216" s="65"/>
      <c r="F1216" s="192">
        <f t="shared" ref="F1216" si="103">SUM(G1216:J1216)</f>
        <v>18563.753000000001</v>
      </c>
      <c r="G1216" s="192">
        <f>SUM(G1215:G1215)</f>
        <v>0</v>
      </c>
      <c r="H1216" s="192">
        <f>SUM(H1215:H1215)</f>
        <v>18563.753000000001</v>
      </c>
      <c r="I1216" s="192">
        <f>SUM(I1215:I1215)</f>
        <v>0</v>
      </c>
      <c r="J1216" s="198">
        <f>SUM(J1215:J1215)</f>
        <v>0</v>
      </c>
      <c r="K1216" s="65"/>
    </row>
    <row r="1217" spans="1:11" s="68" customFormat="1" ht="26.4" x14ac:dyDescent="0.3">
      <c r="A1217" s="65">
        <v>1080</v>
      </c>
      <c r="B1217" s="66" t="s">
        <v>1862</v>
      </c>
      <c r="C1217" s="18" t="s">
        <v>1864</v>
      </c>
      <c r="D1217" s="16" t="s">
        <v>1691</v>
      </c>
      <c r="E1217" s="16" t="s">
        <v>19</v>
      </c>
      <c r="F1217" s="107">
        <f>18563753/1000</f>
        <v>18563.753000000001</v>
      </c>
      <c r="G1217" s="107">
        <v>0</v>
      </c>
      <c r="H1217" s="107">
        <v>0</v>
      </c>
      <c r="I1217" s="107">
        <f>18563753/1000</f>
        <v>18563.753000000001</v>
      </c>
      <c r="J1217" s="107">
        <v>0</v>
      </c>
      <c r="K1217" s="16" t="s">
        <v>1707</v>
      </c>
    </row>
    <row r="1218" spans="1:11" s="81" customFormat="1" x14ac:dyDescent="0.3">
      <c r="A1218" s="319" t="s">
        <v>1622</v>
      </c>
      <c r="B1218" s="320"/>
      <c r="C1218" s="321"/>
      <c r="D1218" s="16"/>
      <c r="E1218" s="65"/>
      <c r="F1218" s="192">
        <f>SUM(G1218:J1218)</f>
        <v>18563.753000000001</v>
      </c>
      <c r="G1218" s="192">
        <f>SUM(G1217:G1217)</f>
        <v>0</v>
      </c>
      <c r="H1218" s="192">
        <f>SUM(H1217:H1217)</f>
        <v>0</v>
      </c>
      <c r="I1218" s="192">
        <f>SUM(I1217:I1217)</f>
        <v>18563.753000000001</v>
      </c>
      <c r="J1218" s="198">
        <f>SUM(J1217:J1217)</f>
        <v>0</v>
      </c>
      <c r="K1218" s="65"/>
    </row>
    <row r="1219" spans="1:11" s="81" customFormat="1" ht="26.4" x14ac:dyDescent="0.3">
      <c r="A1219" s="85">
        <v>1081</v>
      </c>
      <c r="B1219" s="66" t="s">
        <v>1865</v>
      </c>
      <c r="C1219" s="18" t="s">
        <v>1866</v>
      </c>
      <c r="D1219" s="16" t="s">
        <v>1867</v>
      </c>
      <c r="E1219" s="16" t="s">
        <v>19</v>
      </c>
      <c r="F1219" s="107">
        <f>104000/1000</f>
        <v>104</v>
      </c>
      <c r="G1219" s="107">
        <v>0</v>
      </c>
      <c r="H1219" s="107">
        <f>52000/1000</f>
        <v>52</v>
      </c>
      <c r="I1219" s="107">
        <f>52000/1000</f>
        <v>52</v>
      </c>
      <c r="J1219" s="107">
        <v>0</v>
      </c>
      <c r="K1219" s="16" t="s">
        <v>1833</v>
      </c>
    </row>
    <row r="1220" spans="1:11" s="81" customFormat="1" x14ac:dyDescent="0.3">
      <c r="A1220" s="319" t="s">
        <v>1628</v>
      </c>
      <c r="B1220" s="320"/>
      <c r="C1220" s="321"/>
      <c r="D1220" s="68"/>
      <c r="E1220" s="65"/>
      <c r="F1220" s="192">
        <f>SUM(G1220:J1220)</f>
        <v>104</v>
      </c>
      <c r="G1220" s="192">
        <f>SUM(G1219:G1219)</f>
        <v>0</v>
      </c>
      <c r="H1220" s="192">
        <f>SUM(H1219)</f>
        <v>52</v>
      </c>
      <c r="I1220" s="192">
        <f>SUM(I1219)</f>
        <v>52</v>
      </c>
      <c r="J1220" s="198">
        <f>SUM(J1219)</f>
        <v>0</v>
      </c>
      <c r="K1220" s="65"/>
    </row>
    <row r="1221" spans="1:11" s="81" customFormat="1" ht="26.4" x14ac:dyDescent="0.3">
      <c r="A1221" s="79">
        <v>1082</v>
      </c>
      <c r="B1221" s="66" t="s">
        <v>1865</v>
      </c>
      <c r="C1221" s="18" t="s">
        <v>1868</v>
      </c>
      <c r="D1221" s="16" t="s">
        <v>1869</v>
      </c>
      <c r="E1221" s="16" t="s">
        <v>19</v>
      </c>
      <c r="F1221" s="107">
        <f>15630528/1000</f>
        <v>15630.528</v>
      </c>
      <c r="G1221" s="107">
        <v>0</v>
      </c>
      <c r="H1221" s="107">
        <f>15630528/1000</f>
        <v>15630.528</v>
      </c>
      <c r="I1221" s="107">
        <v>0</v>
      </c>
      <c r="J1221" s="107">
        <v>0</v>
      </c>
      <c r="K1221" s="16" t="s">
        <v>1747</v>
      </c>
    </row>
    <row r="1222" spans="1:11" s="81" customFormat="1" x14ac:dyDescent="0.3">
      <c r="A1222" s="319" t="s">
        <v>1622</v>
      </c>
      <c r="B1222" s="320"/>
      <c r="C1222" s="321"/>
      <c r="D1222" s="16"/>
      <c r="E1222" s="65"/>
      <c r="F1222" s="192">
        <f>SUM(G1222:J1222)</f>
        <v>15630.528</v>
      </c>
      <c r="G1222" s="192">
        <f>SUM(G1221:G1221)</f>
        <v>0</v>
      </c>
      <c r="H1222" s="192">
        <f>SUM(H1221:H1221)</f>
        <v>15630.528</v>
      </c>
      <c r="I1222" s="192">
        <f>SUM(I1221:I1221)</f>
        <v>0</v>
      </c>
      <c r="J1222" s="198">
        <f>SUM(J1221:J1221)</f>
        <v>0</v>
      </c>
      <c r="K1222" s="65"/>
    </row>
    <row r="1223" spans="1:11" s="81" customFormat="1" ht="26.4" x14ac:dyDescent="0.3">
      <c r="A1223" s="79">
        <v>1083</v>
      </c>
      <c r="B1223" s="66" t="s">
        <v>1865</v>
      </c>
      <c r="C1223" s="18" t="s">
        <v>1870</v>
      </c>
      <c r="D1223" s="16" t="s">
        <v>1869</v>
      </c>
      <c r="E1223" s="16" t="s">
        <v>19</v>
      </c>
      <c r="F1223" s="107">
        <f>15630528/1000</f>
        <v>15630.528</v>
      </c>
      <c r="G1223" s="107">
        <v>0</v>
      </c>
      <c r="H1223" s="107">
        <v>0</v>
      </c>
      <c r="I1223" s="107">
        <f>15630528/1000</f>
        <v>15630.528</v>
      </c>
      <c r="J1223" s="107">
        <v>0</v>
      </c>
      <c r="K1223" s="16" t="s">
        <v>1725</v>
      </c>
    </row>
    <row r="1224" spans="1:11" s="81" customFormat="1" x14ac:dyDescent="0.3">
      <c r="A1224" s="319" t="s">
        <v>1675</v>
      </c>
      <c r="B1224" s="320"/>
      <c r="C1224" s="321"/>
      <c r="D1224" s="84"/>
      <c r="E1224" s="65"/>
      <c r="F1224" s="192">
        <f>SUM(G1224:J1224)</f>
        <v>15630.528</v>
      </c>
      <c r="G1224" s="192">
        <f>SUM(G1223:G1223)</f>
        <v>0</v>
      </c>
      <c r="H1224" s="192">
        <f>SUM(H1223:H1223)</f>
        <v>0</v>
      </c>
      <c r="I1224" s="192">
        <f>SUM(I1223:I1223)</f>
        <v>15630.528</v>
      </c>
      <c r="J1224" s="198">
        <f>SUM(J1223:J1223)</f>
        <v>0</v>
      </c>
      <c r="K1224" s="65"/>
    </row>
    <row r="1225" spans="1:11" s="81" customFormat="1" ht="26.4" x14ac:dyDescent="0.3">
      <c r="A1225" s="85">
        <v>1084</v>
      </c>
      <c r="B1225" s="245" t="s">
        <v>1871</v>
      </c>
      <c r="C1225" s="18" t="s">
        <v>1872</v>
      </c>
      <c r="D1225" s="80" t="s">
        <v>1873</v>
      </c>
      <c r="E1225" s="16" t="s">
        <v>19</v>
      </c>
      <c r="F1225" s="107">
        <f>415400/1000</f>
        <v>415.4</v>
      </c>
      <c r="G1225" s="107">
        <f>415400/1000</f>
        <v>415.4</v>
      </c>
      <c r="H1225" s="107">
        <v>0</v>
      </c>
      <c r="I1225" s="107">
        <v>0</v>
      </c>
      <c r="J1225" s="107">
        <v>0</v>
      </c>
      <c r="K1225" s="16" t="s">
        <v>1635</v>
      </c>
    </row>
    <row r="1226" spans="1:11" s="81" customFormat="1" ht="26.4" x14ac:dyDescent="0.3">
      <c r="A1226" s="79">
        <v>1085</v>
      </c>
      <c r="B1226" s="315"/>
      <c r="C1226" s="18" t="s">
        <v>1874</v>
      </c>
      <c r="D1226" s="80" t="s">
        <v>1875</v>
      </c>
      <c r="E1226" s="16" t="s">
        <v>19</v>
      </c>
      <c r="F1226" s="107">
        <f>559750/1000</f>
        <v>559.75</v>
      </c>
      <c r="G1226" s="107">
        <f>559750/1000</f>
        <v>559.75</v>
      </c>
      <c r="H1226" s="107">
        <v>0</v>
      </c>
      <c r="I1226" s="107">
        <v>0</v>
      </c>
      <c r="J1226" s="107">
        <v>0</v>
      </c>
      <c r="K1226" s="16" t="s">
        <v>1635</v>
      </c>
    </row>
    <row r="1227" spans="1:11" s="81" customFormat="1" ht="26.4" x14ac:dyDescent="0.3">
      <c r="A1227" s="85">
        <v>1086</v>
      </c>
      <c r="B1227" s="315"/>
      <c r="C1227" s="18" t="s">
        <v>1876</v>
      </c>
      <c r="D1227" s="80" t="s">
        <v>1652</v>
      </c>
      <c r="E1227" s="16" t="s">
        <v>19</v>
      </c>
      <c r="F1227" s="107">
        <f>1649862.5/1000</f>
        <v>1649.8625</v>
      </c>
      <c r="G1227" s="107">
        <f>1649862.5/1000</f>
        <v>1649.8625</v>
      </c>
      <c r="H1227" s="107">
        <v>0</v>
      </c>
      <c r="I1227" s="107">
        <v>0</v>
      </c>
      <c r="J1227" s="107">
        <v>0</v>
      </c>
      <c r="K1227" s="16" t="s">
        <v>1635</v>
      </c>
    </row>
    <row r="1228" spans="1:11" s="81" customFormat="1" ht="26.4" x14ac:dyDescent="0.3">
      <c r="A1228" s="79">
        <v>1087</v>
      </c>
      <c r="B1228" s="246"/>
      <c r="C1228" s="18" t="s">
        <v>1877</v>
      </c>
      <c r="D1228" s="80" t="s">
        <v>137</v>
      </c>
      <c r="E1228" s="16" t="s">
        <v>19</v>
      </c>
      <c r="F1228" s="107">
        <f>2053440/1000</f>
        <v>2053.44</v>
      </c>
      <c r="G1228" s="107">
        <f>1383910/1000</f>
        <v>1383.91</v>
      </c>
      <c r="H1228" s="107">
        <f>669530/1000</f>
        <v>669.53</v>
      </c>
      <c r="I1228" s="107">
        <v>0</v>
      </c>
      <c r="J1228" s="107">
        <v>0</v>
      </c>
      <c r="K1228" s="16" t="s">
        <v>1635</v>
      </c>
    </row>
    <row r="1229" spans="1:11" s="81" customFormat="1" x14ac:dyDescent="0.3">
      <c r="A1229" s="319" t="s">
        <v>1628</v>
      </c>
      <c r="B1229" s="320"/>
      <c r="C1229" s="321"/>
      <c r="D1229" s="89"/>
      <c r="E1229" s="65"/>
      <c r="F1229" s="192">
        <f>SUM(G1229:J1229)</f>
        <v>4678.4524999999994</v>
      </c>
      <c r="G1229" s="192">
        <f>SUM(G1225:G1228)</f>
        <v>4008.9224999999997</v>
      </c>
      <c r="H1229" s="192">
        <f>SUM(H1225:H1228)</f>
        <v>669.53</v>
      </c>
      <c r="I1229" s="192">
        <f>SUM(I1225:I1228)</f>
        <v>0</v>
      </c>
      <c r="J1229" s="192">
        <f>SUM(J1225:J1228)</f>
        <v>0</v>
      </c>
      <c r="K1229" s="65"/>
    </row>
    <row r="1230" spans="1:11" s="81" customFormat="1" ht="26.4" x14ac:dyDescent="0.3">
      <c r="A1230" s="79">
        <v>1088</v>
      </c>
      <c r="B1230" s="66" t="s">
        <v>1871</v>
      </c>
      <c r="C1230" s="18" t="s">
        <v>1878</v>
      </c>
      <c r="D1230" s="80" t="s">
        <v>1691</v>
      </c>
      <c r="E1230" s="16" t="s">
        <v>19</v>
      </c>
      <c r="F1230" s="107">
        <f>8805807/1000</f>
        <v>8805.8070000000007</v>
      </c>
      <c r="G1230" s="107">
        <v>0</v>
      </c>
      <c r="H1230" s="107">
        <f>8805807/1000</f>
        <v>8805.8070000000007</v>
      </c>
      <c r="I1230" s="107">
        <v>0</v>
      </c>
      <c r="J1230" s="107">
        <v>0</v>
      </c>
      <c r="K1230" s="16" t="s">
        <v>1747</v>
      </c>
    </row>
    <row r="1231" spans="1:11" s="81" customFormat="1" x14ac:dyDescent="0.3">
      <c r="A1231" s="319" t="s">
        <v>1622</v>
      </c>
      <c r="B1231" s="320"/>
      <c r="C1231" s="321"/>
      <c r="D1231" s="80"/>
      <c r="E1231" s="65"/>
      <c r="F1231" s="192">
        <f>SUM(G1231:J1231)</f>
        <v>8805.8070000000007</v>
      </c>
      <c r="G1231" s="192">
        <f>SUM(G1230:G1230)</f>
        <v>0</v>
      </c>
      <c r="H1231" s="192">
        <f>SUM(H1230:H1230)</f>
        <v>8805.8070000000007</v>
      </c>
      <c r="I1231" s="192">
        <f>SUM(I1230:I1230)</f>
        <v>0</v>
      </c>
      <c r="J1231" s="198">
        <f>SUM(J1230:J1230)</f>
        <v>0</v>
      </c>
      <c r="K1231" s="65"/>
    </row>
    <row r="1232" spans="1:11" s="81" customFormat="1" ht="26.4" x14ac:dyDescent="0.3">
      <c r="A1232" s="79">
        <v>1089</v>
      </c>
      <c r="B1232" s="66" t="s">
        <v>1871</v>
      </c>
      <c r="C1232" s="18" t="s">
        <v>1879</v>
      </c>
      <c r="D1232" s="80" t="s">
        <v>1691</v>
      </c>
      <c r="E1232" s="16" t="s">
        <v>19</v>
      </c>
      <c r="F1232" s="107">
        <f>8805807/1000</f>
        <v>8805.8070000000007</v>
      </c>
      <c r="G1232" s="107">
        <v>0</v>
      </c>
      <c r="H1232" s="107">
        <v>0</v>
      </c>
      <c r="I1232" s="107">
        <f>8805807/1000</f>
        <v>8805.8070000000007</v>
      </c>
      <c r="J1232" s="107">
        <v>0</v>
      </c>
      <c r="K1232" s="16" t="s">
        <v>1725</v>
      </c>
    </row>
    <row r="1233" spans="1:11" s="81" customFormat="1" x14ac:dyDescent="0.3">
      <c r="A1233" s="319" t="s">
        <v>1675</v>
      </c>
      <c r="B1233" s="320"/>
      <c r="C1233" s="321"/>
      <c r="D1233" s="84"/>
      <c r="E1233" s="65"/>
      <c r="F1233" s="192">
        <f>SUM(G1233:J1233)</f>
        <v>8805.8070000000007</v>
      </c>
      <c r="G1233" s="192">
        <f>SUM(G1232:G1232)</f>
        <v>0</v>
      </c>
      <c r="H1233" s="192">
        <f>SUM(H1232:H1232)</f>
        <v>0</v>
      </c>
      <c r="I1233" s="192">
        <f>SUM(I1232:I1232)</f>
        <v>8805.8070000000007</v>
      </c>
      <c r="J1233" s="198">
        <f>SUM(J1232:J1232)</f>
        <v>0</v>
      </c>
      <c r="K1233" s="65"/>
    </row>
    <row r="1234" spans="1:11" s="68" customFormat="1" ht="26.4" x14ac:dyDescent="0.3">
      <c r="A1234" s="87">
        <v>1090</v>
      </c>
      <c r="B1234" s="294" t="s">
        <v>1880</v>
      </c>
      <c r="C1234" s="86" t="s">
        <v>1881</v>
      </c>
      <c r="D1234" s="80" t="s">
        <v>1652</v>
      </c>
      <c r="E1234" s="16" t="s">
        <v>19</v>
      </c>
      <c r="F1234" s="107">
        <f>10000000/1000</f>
        <v>10000</v>
      </c>
      <c r="G1234" s="107">
        <f>10000000/1000</f>
        <v>10000</v>
      </c>
      <c r="H1234" s="107">
        <v>0</v>
      </c>
      <c r="I1234" s="107">
        <v>0</v>
      </c>
      <c r="J1234" s="107">
        <v>0</v>
      </c>
      <c r="K1234" s="16" t="s">
        <v>1635</v>
      </c>
    </row>
    <row r="1235" spans="1:11" s="68" customFormat="1" ht="26.4" x14ac:dyDescent="0.3">
      <c r="A1235" s="87">
        <v>1091</v>
      </c>
      <c r="B1235" s="295"/>
      <c r="C1235" s="86" t="s">
        <v>1882</v>
      </c>
      <c r="D1235" s="80" t="s">
        <v>1691</v>
      </c>
      <c r="E1235" s="16" t="s">
        <v>19</v>
      </c>
      <c r="F1235" s="107">
        <f>10000000/1000</f>
        <v>10000</v>
      </c>
      <c r="G1235" s="107">
        <v>0</v>
      </c>
      <c r="H1235" s="107">
        <f>10000000/1000</f>
        <v>10000</v>
      </c>
      <c r="I1235" s="107">
        <v>0</v>
      </c>
      <c r="J1235" s="107">
        <v>0</v>
      </c>
      <c r="K1235" s="16" t="s">
        <v>1661</v>
      </c>
    </row>
    <row r="1236" spans="1:11" s="81" customFormat="1" x14ac:dyDescent="0.3">
      <c r="A1236" s="302" t="s">
        <v>1628</v>
      </c>
      <c r="B1236" s="303"/>
      <c r="C1236" s="304"/>
      <c r="D1236" s="90"/>
      <c r="E1236" s="65"/>
      <c r="F1236" s="192">
        <f>SUM(G1236:J1236)</f>
        <v>20000</v>
      </c>
      <c r="G1236" s="192">
        <f>SUM(G1234:G1235)</f>
        <v>10000</v>
      </c>
      <c r="H1236" s="192">
        <f>SUM(H1234:H1235)</f>
        <v>10000</v>
      </c>
      <c r="I1236" s="192">
        <f>SUM(I1234:I1235)</f>
        <v>0</v>
      </c>
      <c r="J1236" s="198">
        <f>SUM(J1234:J1235)</f>
        <v>0</v>
      </c>
      <c r="K1236" s="65"/>
    </row>
    <row r="1237" spans="1:11" s="68" customFormat="1" ht="26.4" x14ac:dyDescent="0.3">
      <c r="A1237" s="87">
        <v>1092</v>
      </c>
      <c r="B1237" s="91" t="s">
        <v>1880</v>
      </c>
      <c r="C1237" s="86" t="s">
        <v>1883</v>
      </c>
      <c r="D1237" s="80" t="s">
        <v>1691</v>
      </c>
      <c r="E1237" s="16" t="s">
        <v>19</v>
      </c>
      <c r="F1237" s="107">
        <f>17000000/1000</f>
        <v>17000</v>
      </c>
      <c r="G1237" s="107">
        <v>0</v>
      </c>
      <c r="H1237" s="107">
        <v>0</v>
      </c>
      <c r="I1237" s="107">
        <f>17000000/1000</f>
        <v>17000</v>
      </c>
      <c r="J1237" s="107">
        <v>0</v>
      </c>
      <c r="K1237" s="16" t="s">
        <v>1804</v>
      </c>
    </row>
    <row r="1238" spans="1:11" s="81" customFormat="1" x14ac:dyDescent="0.3">
      <c r="A1238" s="302" t="s">
        <v>1622</v>
      </c>
      <c r="B1238" s="303"/>
      <c r="C1238" s="304"/>
      <c r="D1238" s="90"/>
      <c r="E1238" s="65"/>
      <c r="F1238" s="192">
        <f t="shared" ref="F1238" si="104">SUM(G1238:J1238)</f>
        <v>17000</v>
      </c>
      <c r="G1238" s="192">
        <f>SUM(G1237:G1237)</f>
        <v>0</v>
      </c>
      <c r="H1238" s="192">
        <f>SUM(H1237:H1237)</f>
        <v>0</v>
      </c>
      <c r="I1238" s="192">
        <f>SUM(I1237:I1237)</f>
        <v>17000</v>
      </c>
      <c r="J1238" s="198">
        <f>SUM(J1237:J1237)</f>
        <v>0</v>
      </c>
      <c r="K1238" s="65"/>
    </row>
    <row r="1239" spans="1:11" s="68" customFormat="1" ht="26.4" x14ac:dyDescent="0.3">
      <c r="A1239" s="87">
        <v>1093</v>
      </c>
      <c r="B1239" s="91" t="s">
        <v>1880</v>
      </c>
      <c r="C1239" s="86" t="s">
        <v>1884</v>
      </c>
      <c r="D1239" s="80" t="s">
        <v>1652</v>
      </c>
      <c r="E1239" s="16" t="s">
        <v>19</v>
      </c>
      <c r="F1239" s="107">
        <f>10000000/1000</f>
        <v>10000</v>
      </c>
      <c r="G1239" s="107">
        <v>0</v>
      </c>
      <c r="H1239" s="107">
        <v>0</v>
      </c>
      <c r="I1239" s="107">
        <f>10000000/1000</f>
        <v>10000</v>
      </c>
      <c r="J1239" s="107">
        <v>0</v>
      </c>
      <c r="K1239" s="16" t="s">
        <v>1674</v>
      </c>
    </row>
    <row r="1240" spans="1:11" s="81" customFormat="1" x14ac:dyDescent="0.3">
      <c r="A1240" s="319" t="s">
        <v>1675</v>
      </c>
      <c r="B1240" s="320"/>
      <c r="C1240" s="321"/>
      <c r="D1240" s="84"/>
      <c r="E1240" s="65"/>
      <c r="F1240" s="192">
        <f t="shared" ref="F1240" si="105">SUM(G1240:J1240)</f>
        <v>10000</v>
      </c>
      <c r="G1240" s="192">
        <f>SUM(G1239:G1239)</f>
        <v>0</v>
      </c>
      <c r="H1240" s="192">
        <f>SUM(H1239:H1239)</f>
        <v>0</v>
      </c>
      <c r="I1240" s="192">
        <f>SUM(I1239:I1239)</f>
        <v>10000</v>
      </c>
      <c r="J1240" s="198">
        <f>SUM(J1239:J1239)</f>
        <v>0</v>
      </c>
      <c r="K1240" s="65"/>
    </row>
    <row r="1241" spans="1:11" s="81" customFormat="1" ht="26.4" x14ac:dyDescent="0.3">
      <c r="A1241" s="85">
        <v>1094</v>
      </c>
      <c r="B1241" s="294" t="s">
        <v>1885</v>
      </c>
      <c r="C1241" s="86" t="s">
        <v>1886</v>
      </c>
      <c r="D1241" s="80" t="s">
        <v>1691</v>
      </c>
      <c r="E1241" s="16" t="s">
        <v>19</v>
      </c>
      <c r="F1241" s="107">
        <f>5347535.19/1000</f>
        <v>5347.5351900000005</v>
      </c>
      <c r="G1241" s="107">
        <f>5347535.19/1000</f>
        <v>5347.5351900000005</v>
      </c>
      <c r="H1241" s="107">
        <v>0</v>
      </c>
      <c r="I1241" s="107">
        <v>0</v>
      </c>
      <c r="J1241" s="107">
        <v>0</v>
      </c>
      <c r="K1241" s="16" t="s">
        <v>1632</v>
      </c>
    </row>
    <row r="1242" spans="1:11" s="81" customFormat="1" ht="26.4" x14ac:dyDescent="0.3">
      <c r="A1242" s="85">
        <v>1095</v>
      </c>
      <c r="B1242" s="295"/>
      <c r="C1242" s="86" t="s">
        <v>1887</v>
      </c>
      <c r="D1242" s="80" t="s">
        <v>1691</v>
      </c>
      <c r="E1242" s="16" t="s">
        <v>19</v>
      </c>
      <c r="F1242" s="107">
        <f>27326500/1000</f>
        <v>27326.5</v>
      </c>
      <c r="G1242" s="107">
        <v>0</v>
      </c>
      <c r="H1242" s="107">
        <f>27326500/1000</f>
        <v>27326.5</v>
      </c>
      <c r="I1242" s="107">
        <v>0</v>
      </c>
      <c r="J1242" s="107">
        <v>0</v>
      </c>
      <c r="K1242" s="16" t="s">
        <v>1833</v>
      </c>
    </row>
    <row r="1243" spans="1:11" s="81" customFormat="1" x14ac:dyDescent="0.3">
      <c r="A1243" s="302" t="s">
        <v>1628</v>
      </c>
      <c r="B1243" s="303"/>
      <c r="C1243" s="304"/>
      <c r="D1243" s="89"/>
      <c r="E1243" s="65"/>
      <c r="F1243" s="192">
        <f>SUM(G1243:J1243)</f>
        <v>32674.035190000002</v>
      </c>
      <c r="G1243" s="192">
        <f>SUM(G1241:G1242)</f>
        <v>5347.5351900000005</v>
      </c>
      <c r="H1243" s="192">
        <f>SUM(H1241:H1242)</f>
        <v>27326.5</v>
      </c>
      <c r="I1243" s="192">
        <f>SUM(I1241:I1242)</f>
        <v>0</v>
      </c>
      <c r="J1243" s="198">
        <f>SUM(J1241:J1242)</f>
        <v>0</v>
      </c>
      <c r="K1243" s="65"/>
    </row>
    <row r="1244" spans="1:11" s="81" customFormat="1" ht="26.4" x14ac:dyDescent="0.3">
      <c r="A1244" s="85">
        <v>1096</v>
      </c>
      <c r="B1244" s="294" t="s">
        <v>1885</v>
      </c>
      <c r="C1244" s="86" t="s">
        <v>1888</v>
      </c>
      <c r="D1244" s="80" t="s">
        <v>1691</v>
      </c>
      <c r="E1244" s="16" t="s">
        <v>19</v>
      </c>
      <c r="F1244" s="107">
        <f>27326500/1000</f>
        <v>27326.5</v>
      </c>
      <c r="G1244" s="107">
        <v>0</v>
      </c>
      <c r="H1244" s="107">
        <v>0</v>
      </c>
      <c r="I1244" s="107">
        <f>27326500/1000</f>
        <v>27326.5</v>
      </c>
      <c r="J1244" s="107">
        <v>0</v>
      </c>
      <c r="K1244" s="16" t="s">
        <v>1838</v>
      </c>
    </row>
    <row r="1245" spans="1:11" s="81" customFormat="1" ht="26.4" x14ac:dyDescent="0.3">
      <c r="A1245" s="85">
        <v>1097</v>
      </c>
      <c r="B1245" s="295"/>
      <c r="C1245" s="86" t="s">
        <v>1889</v>
      </c>
      <c r="D1245" s="80" t="s">
        <v>1738</v>
      </c>
      <c r="E1245" s="16" t="s">
        <v>19</v>
      </c>
      <c r="F1245" s="107">
        <f>5028134.5/1000</f>
        <v>5028.1345000000001</v>
      </c>
      <c r="G1245" s="107">
        <v>0</v>
      </c>
      <c r="H1245" s="107">
        <f>5028134.5/1000</f>
        <v>5028.1345000000001</v>
      </c>
      <c r="I1245" s="107">
        <v>0</v>
      </c>
      <c r="J1245" s="107">
        <v>0</v>
      </c>
      <c r="K1245" s="16" t="s">
        <v>1672</v>
      </c>
    </row>
    <row r="1246" spans="1:11" s="81" customFormat="1" x14ac:dyDescent="0.3">
      <c r="A1246" s="302" t="s">
        <v>1622</v>
      </c>
      <c r="B1246" s="303"/>
      <c r="C1246" s="304"/>
      <c r="D1246" s="80"/>
      <c r="E1246" s="65"/>
      <c r="F1246" s="192">
        <f>SUM(G1246:J1246)</f>
        <v>32354.6345</v>
      </c>
      <c r="G1246" s="192">
        <f>SUM(G1244:G1245)</f>
        <v>0</v>
      </c>
      <c r="H1246" s="192">
        <f>SUM(H1244:H1245)</f>
        <v>5028.1345000000001</v>
      </c>
      <c r="I1246" s="192">
        <f>SUM(I1244:I1245)</f>
        <v>27326.5</v>
      </c>
      <c r="J1246" s="198">
        <f>SUM(J1244:J1245)</f>
        <v>0</v>
      </c>
      <c r="K1246" s="65"/>
    </row>
    <row r="1247" spans="1:11" s="81" customFormat="1" ht="26.4" x14ac:dyDescent="0.3">
      <c r="A1247" s="85">
        <v>1098</v>
      </c>
      <c r="B1247" s="91" t="s">
        <v>1885</v>
      </c>
      <c r="C1247" s="86" t="s">
        <v>1890</v>
      </c>
      <c r="D1247" s="80" t="s">
        <v>1738</v>
      </c>
      <c r="E1247" s="16" t="s">
        <v>19</v>
      </c>
      <c r="F1247" s="107">
        <f>5028134.5/1000</f>
        <v>5028.1345000000001</v>
      </c>
      <c r="G1247" s="107">
        <v>0</v>
      </c>
      <c r="H1247" s="107">
        <v>0</v>
      </c>
      <c r="I1247" s="107">
        <f>5028134.5/1000</f>
        <v>5028.1345000000001</v>
      </c>
      <c r="J1247" s="107">
        <v>0</v>
      </c>
      <c r="K1247" s="16" t="s">
        <v>1674</v>
      </c>
    </row>
    <row r="1248" spans="1:11" s="81" customFormat="1" x14ac:dyDescent="0.3">
      <c r="A1248" s="319" t="s">
        <v>1675</v>
      </c>
      <c r="B1248" s="320"/>
      <c r="C1248" s="321"/>
      <c r="D1248" s="84"/>
      <c r="E1248" s="65"/>
      <c r="F1248" s="192">
        <f>SUM(G1248:J1248)</f>
        <v>5028.1345000000001</v>
      </c>
      <c r="G1248" s="192">
        <f>SUM(G1247:G1247)</f>
        <v>0</v>
      </c>
      <c r="H1248" s="192">
        <f>SUM(H1247:H1247)</f>
        <v>0</v>
      </c>
      <c r="I1248" s="192">
        <f>SUM(I1247:I1247)</f>
        <v>5028.1345000000001</v>
      </c>
      <c r="J1248" s="198">
        <f>SUM(J1247:J1247)</f>
        <v>0</v>
      </c>
      <c r="K1248" s="65"/>
    </row>
    <row r="1249" spans="1:12" s="68" customFormat="1" ht="26.4" x14ac:dyDescent="0.3">
      <c r="A1249" s="87">
        <v>1099</v>
      </c>
      <c r="B1249" s="245" t="s">
        <v>1891</v>
      </c>
      <c r="C1249" s="18" t="s">
        <v>1892</v>
      </c>
      <c r="D1249" s="80" t="s">
        <v>1893</v>
      </c>
      <c r="E1249" s="16" t="s">
        <v>19</v>
      </c>
      <c r="F1249" s="107">
        <f>3892738.77/1000</f>
        <v>3892.7387699999999</v>
      </c>
      <c r="G1249" s="107">
        <v>0</v>
      </c>
      <c r="H1249" s="107">
        <f>3892738.77/1000</f>
        <v>3892.7387699999999</v>
      </c>
      <c r="I1249" s="107">
        <v>0</v>
      </c>
      <c r="J1249" s="107">
        <v>0</v>
      </c>
      <c r="K1249" s="16" t="s">
        <v>1661</v>
      </c>
    </row>
    <row r="1250" spans="1:12" s="68" customFormat="1" ht="26.4" x14ac:dyDescent="0.3">
      <c r="A1250" s="65">
        <v>1100</v>
      </c>
      <c r="B1250" s="315"/>
      <c r="C1250" s="18" t="s">
        <v>1894</v>
      </c>
      <c r="D1250" s="80" t="s">
        <v>1694</v>
      </c>
      <c r="E1250" s="16" t="s">
        <v>19</v>
      </c>
      <c r="F1250" s="107">
        <f>1353940/1000</f>
        <v>1353.94</v>
      </c>
      <c r="G1250" s="107">
        <v>0</v>
      </c>
      <c r="H1250" s="107">
        <f>1353940/1000</f>
        <v>1353.94</v>
      </c>
      <c r="I1250" s="107">
        <v>0</v>
      </c>
      <c r="J1250" s="107">
        <v>0</v>
      </c>
      <c r="K1250" s="16" t="s">
        <v>1661</v>
      </c>
    </row>
    <row r="1251" spans="1:12" s="68" customFormat="1" ht="26.4" x14ac:dyDescent="0.3">
      <c r="A1251" s="87">
        <v>1101</v>
      </c>
      <c r="B1251" s="315"/>
      <c r="C1251" s="18" t="s">
        <v>1895</v>
      </c>
      <c r="D1251" s="80" t="s">
        <v>1896</v>
      </c>
      <c r="E1251" s="16" t="s">
        <v>19</v>
      </c>
      <c r="F1251" s="107">
        <f>4352583.72/1000</f>
        <v>4352.5837199999996</v>
      </c>
      <c r="G1251" s="107">
        <v>0</v>
      </c>
      <c r="H1251" s="107">
        <f>4352583.72/1000</f>
        <v>4352.5837199999996</v>
      </c>
      <c r="I1251" s="107">
        <v>0</v>
      </c>
      <c r="J1251" s="107">
        <v>0</v>
      </c>
      <c r="K1251" s="16" t="s">
        <v>1661</v>
      </c>
    </row>
    <row r="1252" spans="1:12" s="68" customFormat="1" ht="26.4" x14ac:dyDescent="0.3">
      <c r="A1252" s="65">
        <v>1102</v>
      </c>
      <c r="B1252" s="246"/>
      <c r="C1252" s="18" t="s">
        <v>1897</v>
      </c>
      <c r="D1252" s="80" t="s">
        <v>1830</v>
      </c>
      <c r="E1252" s="16" t="s">
        <v>19</v>
      </c>
      <c r="F1252" s="107">
        <f>4879791.6/1000</f>
        <v>4879.7915999999996</v>
      </c>
      <c r="G1252" s="107">
        <v>0</v>
      </c>
      <c r="H1252" s="107">
        <f>4879791.6/1000</f>
        <v>4879.7915999999996</v>
      </c>
      <c r="I1252" s="107">
        <v>0</v>
      </c>
      <c r="J1252" s="107">
        <v>0</v>
      </c>
      <c r="K1252" s="16" t="s">
        <v>1692</v>
      </c>
    </row>
    <row r="1253" spans="1:12" s="81" customFormat="1" x14ac:dyDescent="0.3">
      <c r="A1253" s="319" t="s">
        <v>1628</v>
      </c>
      <c r="B1253" s="320"/>
      <c r="C1253" s="321"/>
      <c r="D1253" s="89"/>
      <c r="E1253" s="65"/>
      <c r="F1253" s="192">
        <f t="shared" ref="F1253" si="106">SUM(G1253:J1253)</f>
        <v>14479.054090000001</v>
      </c>
      <c r="G1253" s="192">
        <f>SUM(G1249:G1252)</f>
        <v>0</v>
      </c>
      <c r="H1253" s="192">
        <f>SUM(H1249:H1252)</f>
        <v>14479.054090000001</v>
      </c>
      <c r="I1253" s="192">
        <f>SUM(I1249:I1250)</f>
        <v>0</v>
      </c>
      <c r="J1253" s="198">
        <f>SUM(J1249:J1250)</f>
        <v>0</v>
      </c>
      <c r="K1253" s="65"/>
    </row>
    <row r="1254" spans="1:12" s="68" customFormat="1" ht="26.4" x14ac:dyDescent="0.3">
      <c r="A1254" s="65">
        <v>1103</v>
      </c>
      <c r="B1254" s="245" t="s">
        <v>1891</v>
      </c>
      <c r="C1254" s="18" t="s">
        <v>1898</v>
      </c>
      <c r="D1254" s="80" t="s">
        <v>1841</v>
      </c>
      <c r="E1254" s="16" t="s">
        <v>19</v>
      </c>
      <c r="F1254" s="107">
        <f>813100/1000</f>
        <v>813.1</v>
      </c>
      <c r="G1254" s="107">
        <v>0</v>
      </c>
      <c r="H1254" s="107">
        <f>813100/1000</f>
        <v>813.1</v>
      </c>
      <c r="I1254" s="107">
        <v>0</v>
      </c>
      <c r="J1254" s="107">
        <v>0</v>
      </c>
      <c r="K1254" s="16" t="s">
        <v>1747</v>
      </c>
    </row>
    <row r="1255" spans="1:12" s="68" customFormat="1" ht="26.4" x14ac:dyDescent="0.3">
      <c r="A1255" s="65">
        <v>1104</v>
      </c>
      <c r="B1255" s="315"/>
      <c r="C1255" s="18" t="s">
        <v>1899</v>
      </c>
      <c r="D1255" s="80" t="s">
        <v>1694</v>
      </c>
      <c r="E1255" s="16" t="s">
        <v>19</v>
      </c>
      <c r="F1255" s="107">
        <f>1330/1000</f>
        <v>1.33</v>
      </c>
      <c r="G1255" s="107">
        <v>0</v>
      </c>
      <c r="H1255" s="107">
        <f>1330/1000</f>
        <v>1.33</v>
      </c>
      <c r="I1255" s="107">
        <v>0</v>
      </c>
      <c r="J1255" s="107">
        <v>0</v>
      </c>
      <c r="K1255" s="16" t="s">
        <v>1747</v>
      </c>
    </row>
    <row r="1256" spans="1:12" s="68" customFormat="1" ht="26.4" x14ac:dyDescent="0.3">
      <c r="A1256" s="65">
        <v>1105</v>
      </c>
      <c r="B1256" s="315"/>
      <c r="C1256" s="18" t="s">
        <v>1900</v>
      </c>
      <c r="D1256" s="93" t="s">
        <v>1893</v>
      </c>
      <c r="E1256" s="35" t="s">
        <v>19</v>
      </c>
      <c r="F1256" s="107">
        <f>2876.65/1000</f>
        <v>2.8766500000000002</v>
      </c>
      <c r="G1256" s="107">
        <v>0</v>
      </c>
      <c r="H1256" s="107">
        <f>2876.65/1000</f>
        <v>2.8766500000000002</v>
      </c>
      <c r="I1256" s="107">
        <v>0</v>
      </c>
      <c r="J1256" s="107">
        <v>0</v>
      </c>
      <c r="K1256" s="16" t="s">
        <v>1747</v>
      </c>
    </row>
    <row r="1257" spans="1:12" s="94" customFormat="1" ht="26.4" x14ac:dyDescent="0.3">
      <c r="A1257" s="65">
        <v>1106</v>
      </c>
      <c r="B1257" s="315"/>
      <c r="C1257" s="21" t="s">
        <v>1901</v>
      </c>
      <c r="D1257" s="80" t="s">
        <v>1896</v>
      </c>
      <c r="E1257" s="16" t="s">
        <v>19</v>
      </c>
      <c r="F1257" s="101">
        <f>147.33/1000</f>
        <v>0.14733000000000002</v>
      </c>
      <c r="G1257" s="101">
        <v>0</v>
      </c>
      <c r="H1257" s="101">
        <f>147.33/1000</f>
        <v>0.14733000000000002</v>
      </c>
      <c r="I1257" s="101">
        <v>0</v>
      </c>
      <c r="J1257" s="101">
        <v>0</v>
      </c>
      <c r="K1257" s="16" t="s">
        <v>1747</v>
      </c>
    </row>
    <row r="1258" spans="1:12" s="94" customFormat="1" ht="26.4" x14ac:dyDescent="0.3">
      <c r="A1258" s="65">
        <v>1107</v>
      </c>
      <c r="B1258" s="246"/>
      <c r="C1258" s="18" t="s">
        <v>1902</v>
      </c>
      <c r="D1258" s="80" t="s">
        <v>1830</v>
      </c>
      <c r="E1258" s="16" t="s">
        <v>19</v>
      </c>
      <c r="F1258" s="107">
        <v>488.67</v>
      </c>
      <c r="G1258" s="107">
        <v>0</v>
      </c>
      <c r="H1258" s="107">
        <v>488.67</v>
      </c>
      <c r="I1258" s="107">
        <v>0</v>
      </c>
      <c r="J1258" s="107">
        <v>0</v>
      </c>
      <c r="K1258" s="16" t="s">
        <v>1747</v>
      </c>
    </row>
    <row r="1259" spans="1:12" s="81" customFormat="1" x14ac:dyDescent="0.3">
      <c r="A1259" s="319" t="s">
        <v>1622</v>
      </c>
      <c r="B1259" s="320"/>
      <c r="C1259" s="321"/>
      <c r="D1259" s="80"/>
      <c r="E1259" s="65"/>
      <c r="F1259" s="192">
        <f>SUM(G1259:J1259)</f>
        <v>1306.1239800000001</v>
      </c>
      <c r="G1259" s="192">
        <f>SUM(G1254:G1255)</f>
        <v>0</v>
      </c>
      <c r="H1259" s="192">
        <f>SUM(H1254:H1258)</f>
        <v>1306.1239800000001</v>
      </c>
      <c r="I1259" s="192">
        <f t="shared" ref="I1259:J1259" si="107">SUM(I1254:I1255)</f>
        <v>0</v>
      </c>
      <c r="J1259" s="198">
        <f t="shared" si="107"/>
        <v>0</v>
      </c>
      <c r="K1259" s="65"/>
    </row>
    <row r="1260" spans="1:12" s="68" customFormat="1" ht="26.4" x14ac:dyDescent="0.3">
      <c r="A1260" s="65">
        <v>1108</v>
      </c>
      <c r="B1260" s="245" t="s">
        <v>1891</v>
      </c>
      <c r="C1260" s="18" t="s">
        <v>1903</v>
      </c>
      <c r="D1260" s="80" t="s">
        <v>1841</v>
      </c>
      <c r="E1260" s="16" t="s">
        <v>19</v>
      </c>
      <c r="F1260" s="107">
        <f>813100/1000</f>
        <v>813.1</v>
      </c>
      <c r="G1260" s="107">
        <v>0</v>
      </c>
      <c r="H1260" s="107">
        <v>0</v>
      </c>
      <c r="I1260" s="107">
        <f>813100/1000</f>
        <v>813.1</v>
      </c>
      <c r="J1260" s="107">
        <v>0</v>
      </c>
      <c r="K1260" s="16" t="s">
        <v>1725</v>
      </c>
    </row>
    <row r="1261" spans="1:12" s="68" customFormat="1" ht="26.4" x14ac:dyDescent="0.3">
      <c r="A1261" s="65">
        <v>1109</v>
      </c>
      <c r="B1261" s="315"/>
      <c r="C1261" s="18" t="s">
        <v>1904</v>
      </c>
      <c r="D1261" s="16" t="s">
        <v>1694</v>
      </c>
      <c r="E1261" s="16" t="s">
        <v>19</v>
      </c>
      <c r="F1261" s="107">
        <f>1353940/1000</f>
        <v>1353.94</v>
      </c>
      <c r="G1261" s="107">
        <v>0</v>
      </c>
      <c r="H1261" s="107">
        <v>0</v>
      </c>
      <c r="I1261" s="107">
        <f>1353940/1000</f>
        <v>1353.94</v>
      </c>
      <c r="J1261" s="107">
        <v>0</v>
      </c>
      <c r="K1261" s="16" t="s">
        <v>1725</v>
      </c>
    </row>
    <row r="1262" spans="1:12" s="68" customFormat="1" ht="26.4" x14ac:dyDescent="0.3">
      <c r="A1262" s="65">
        <v>1110</v>
      </c>
      <c r="B1262" s="315"/>
      <c r="C1262" s="18" t="s">
        <v>1905</v>
      </c>
      <c r="D1262" s="16" t="s">
        <v>1896</v>
      </c>
      <c r="E1262" s="16" t="s">
        <v>19</v>
      </c>
      <c r="F1262" s="107">
        <f>4352583.72/1000</f>
        <v>4352.5837199999996</v>
      </c>
      <c r="G1262" s="107">
        <v>0</v>
      </c>
      <c r="H1262" s="107">
        <v>0</v>
      </c>
      <c r="I1262" s="107">
        <f>4352583.72/1000</f>
        <v>4352.5837199999996</v>
      </c>
      <c r="J1262" s="107">
        <v>0</v>
      </c>
      <c r="K1262" s="16" t="s">
        <v>1725</v>
      </c>
      <c r="L1262" s="95"/>
    </row>
    <row r="1263" spans="1:12" s="68" customFormat="1" ht="26.4" x14ac:dyDescent="0.3">
      <c r="A1263" s="65">
        <v>1111</v>
      </c>
      <c r="B1263" s="246"/>
      <c r="C1263" s="18" t="s">
        <v>1906</v>
      </c>
      <c r="D1263" s="16" t="s">
        <v>1896</v>
      </c>
      <c r="E1263" s="16" t="s">
        <v>19</v>
      </c>
      <c r="F1263" s="107">
        <f>4352583.72/1000</f>
        <v>4352.5837199999996</v>
      </c>
      <c r="G1263" s="107">
        <v>0</v>
      </c>
      <c r="H1263" s="107">
        <v>0</v>
      </c>
      <c r="I1263" s="107">
        <f>4352583.72/1000</f>
        <v>4352.5837199999996</v>
      </c>
      <c r="J1263" s="107">
        <v>0</v>
      </c>
      <c r="K1263" s="16" t="s">
        <v>1725</v>
      </c>
      <c r="L1263" s="95"/>
    </row>
    <row r="1264" spans="1:12" s="81" customFormat="1" x14ac:dyDescent="0.3">
      <c r="A1264" s="319" t="s">
        <v>1675</v>
      </c>
      <c r="B1264" s="320"/>
      <c r="C1264" s="321"/>
      <c r="D1264" s="84"/>
      <c r="E1264" s="65"/>
      <c r="F1264" s="192">
        <f>SUM(G1264:J1264)</f>
        <v>10872.207439999998</v>
      </c>
      <c r="G1264" s="192">
        <f>SUM(G1260:G1263)</f>
        <v>0</v>
      </c>
      <c r="H1264" s="192">
        <f>SUM(H1260:H1263)</f>
        <v>0</v>
      </c>
      <c r="I1264" s="192">
        <f>SUM(I1260:I1263)</f>
        <v>10872.207439999998</v>
      </c>
      <c r="J1264" s="198">
        <f>SUM(J1260:J1263)</f>
        <v>0</v>
      </c>
      <c r="K1264" s="65"/>
      <c r="L1264" s="96"/>
    </row>
    <row r="1265" spans="1:12" s="68" customFormat="1" ht="26.4" x14ac:dyDescent="0.3">
      <c r="A1265" s="87">
        <v>1112</v>
      </c>
      <c r="B1265" s="245" t="s">
        <v>1907</v>
      </c>
      <c r="C1265" s="18" t="s">
        <v>1908</v>
      </c>
      <c r="D1265" s="80" t="s">
        <v>1909</v>
      </c>
      <c r="E1265" s="16" t="s">
        <v>19</v>
      </c>
      <c r="F1265" s="107">
        <f>2667615/1000</f>
        <v>2667.6149999999998</v>
      </c>
      <c r="G1265" s="107">
        <f>2667615/1000</f>
        <v>2667.6149999999998</v>
      </c>
      <c r="H1265" s="107">
        <v>0</v>
      </c>
      <c r="I1265" s="107">
        <v>0</v>
      </c>
      <c r="J1265" s="107">
        <v>0</v>
      </c>
      <c r="K1265" s="16" t="s">
        <v>1635</v>
      </c>
      <c r="L1265" s="95"/>
    </row>
    <row r="1266" spans="1:12" s="68" customFormat="1" ht="26.4" x14ac:dyDescent="0.3">
      <c r="A1266" s="65">
        <v>1113</v>
      </c>
      <c r="B1266" s="315"/>
      <c r="C1266" s="18" t="s">
        <v>1910</v>
      </c>
      <c r="D1266" s="80" t="s">
        <v>1896</v>
      </c>
      <c r="E1266" s="16" t="s">
        <v>19</v>
      </c>
      <c r="F1266" s="107">
        <f>1400000/1000</f>
        <v>1400</v>
      </c>
      <c r="G1266" s="107">
        <f>1400000/1000</f>
        <v>1400</v>
      </c>
      <c r="H1266" s="107">
        <v>0</v>
      </c>
      <c r="I1266" s="107">
        <v>0</v>
      </c>
      <c r="J1266" s="107">
        <v>0</v>
      </c>
      <c r="K1266" s="16" t="s">
        <v>1632</v>
      </c>
      <c r="L1266" s="97"/>
    </row>
    <row r="1267" spans="1:12" s="68" customFormat="1" ht="26.4" x14ac:dyDescent="0.3">
      <c r="A1267" s="87">
        <v>1114</v>
      </c>
      <c r="B1267" s="315"/>
      <c r="C1267" s="18" t="s">
        <v>1911</v>
      </c>
      <c r="D1267" s="80" t="s">
        <v>1694</v>
      </c>
      <c r="E1267" s="16" t="s">
        <v>19</v>
      </c>
      <c r="F1267" s="107">
        <f>1140000/1000</f>
        <v>1140</v>
      </c>
      <c r="G1267" s="107">
        <v>0</v>
      </c>
      <c r="H1267" s="107">
        <f>1140000/1000</f>
        <v>1140</v>
      </c>
      <c r="I1267" s="107">
        <v>0</v>
      </c>
      <c r="J1267" s="107">
        <v>0</v>
      </c>
      <c r="K1267" s="16" t="s">
        <v>1692</v>
      </c>
      <c r="L1267" s="97"/>
    </row>
    <row r="1268" spans="1:12" s="68" customFormat="1" ht="26.4" x14ac:dyDescent="0.3">
      <c r="A1268" s="65">
        <v>1115</v>
      </c>
      <c r="B1268" s="315"/>
      <c r="C1268" s="18" t="s">
        <v>1912</v>
      </c>
      <c r="D1268" s="80" t="s">
        <v>137</v>
      </c>
      <c r="E1268" s="16" t="s">
        <v>19</v>
      </c>
      <c r="F1268" s="107">
        <f>3061436.64/1000</f>
        <v>3061.4366400000004</v>
      </c>
      <c r="G1268" s="107">
        <v>0</v>
      </c>
      <c r="H1268" s="107">
        <f>1530718.32/1000</f>
        <v>1530.7183200000002</v>
      </c>
      <c r="I1268" s="107">
        <f>1530718.32/1000</f>
        <v>1530.7183200000002</v>
      </c>
      <c r="J1268" s="107">
        <v>0</v>
      </c>
      <c r="K1268" s="16" t="s">
        <v>1692</v>
      </c>
      <c r="L1268" s="97"/>
    </row>
    <row r="1269" spans="1:12" s="68" customFormat="1" ht="26.4" x14ac:dyDescent="0.3">
      <c r="A1269" s="87">
        <v>1116</v>
      </c>
      <c r="B1269" s="246"/>
      <c r="C1269" s="18" t="s">
        <v>1913</v>
      </c>
      <c r="D1269" s="80" t="s">
        <v>1830</v>
      </c>
      <c r="E1269" s="16" t="s">
        <v>19</v>
      </c>
      <c r="F1269" s="107">
        <f>4485000/1000</f>
        <v>4485</v>
      </c>
      <c r="G1269" s="107">
        <v>0</v>
      </c>
      <c r="H1269" s="107">
        <f>4485000/1000</f>
        <v>4485</v>
      </c>
      <c r="I1269" s="107">
        <v>0</v>
      </c>
      <c r="J1269" s="107">
        <v>0</v>
      </c>
      <c r="K1269" s="16" t="s">
        <v>1833</v>
      </c>
      <c r="L1269" s="97"/>
    </row>
    <row r="1270" spans="1:12" s="81" customFormat="1" x14ac:dyDescent="0.3">
      <c r="A1270" s="325" t="s">
        <v>1628</v>
      </c>
      <c r="B1270" s="326"/>
      <c r="C1270" s="327"/>
      <c r="D1270" s="89"/>
      <c r="E1270" s="83"/>
      <c r="F1270" s="206">
        <f>SUM(G1270:J1270)</f>
        <v>12754.05164</v>
      </c>
      <c r="G1270" s="206">
        <f>SUM(G1265:G1269)</f>
        <v>4067.6149999999998</v>
      </c>
      <c r="H1270" s="206">
        <f>SUM(H1265:H1269)</f>
        <v>7155.7183199999999</v>
      </c>
      <c r="I1270" s="206">
        <f>SUM(I1265:I1269)</f>
        <v>1530.7183200000002</v>
      </c>
      <c r="J1270" s="234">
        <f>SUM(J1265:J1269)</f>
        <v>0</v>
      </c>
      <c r="K1270" s="83"/>
      <c r="L1270" s="96"/>
    </row>
    <row r="1271" spans="1:12" s="68" customFormat="1" ht="26.4" x14ac:dyDescent="0.3">
      <c r="A1271" s="65">
        <v>1117</v>
      </c>
      <c r="B1271" s="245" t="s">
        <v>1907</v>
      </c>
      <c r="C1271" s="18" t="s">
        <v>1914</v>
      </c>
      <c r="D1271" s="80" t="s">
        <v>1909</v>
      </c>
      <c r="E1271" s="16" t="s">
        <v>19</v>
      </c>
      <c r="F1271" s="107">
        <f>4387368.69/1000</f>
        <v>4387.3686900000002</v>
      </c>
      <c r="G1271" s="107">
        <v>0</v>
      </c>
      <c r="H1271" s="107">
        <f>4387368.69/1000</f>
        <v>4387.3686900000002</v>
      </c>
      <c r="I1271" s="107">
        <v>0</v>
      </c>
      <c r="J1271" s="107">
        <v>0</v>
      </c>
      <c r="K1271" s="16" t="s">
        <v>1672</v>
      </c>
      <c r="L1271" s="95"/>
    </row>
    <row r="1272" spans="1:12" s="68" customFormat="1" ht="26.4" x14ac:dyDescent="0.3">
      <c r="A1272" s="65">
        <v>1118</v>
      </c>
      <c r="B1272" s="246"/>
      <c r="C1272" s="18" t="s">
        <v>1915</v>
      </c>
      <c r="D1272" s="80" t="s">
        <v>1691</v>
      </c>
      <c r="E1272" s="16" t="s">
        <v>19</v>
      </c>
      <c r="F1272" s="107">
        <f>6500000/1000</f>
        <v>6500</v>
      </c>
      <c r="G1272" s="107">
        <v>0</v>
      </c>
      <c r="H1272" s="107">
        <v>0</v>
      </c>
      <c r="I1272" s="107">
        <f>6500000/1000</f>
        <v>6500</v>
      </c>
      <c r="J1272" s="107">
        <v>0</v>
      </c>
      <c r="K1272" s="16" t="s">
        <v>1707</v>
      </c>
      <c r="L1272" s="95"/>
    </row>
    <row r="1273" spans="1:12" s="81" customFormat="1" x14ac:dyDescent="0.3">
      <c r="A1273" s="319" t="s">
        <v>1622</v>
      </c>
      <c r="B1273" s="320"/>
      <c r="C1273" s="321"/>
      <c r="D1273" s="80"/>
      <c r="E1273" s="65"/>
      <c r="F1273" s="192">
        <f>SUM(G1273:J1273)</f>
        <v>10887.368689999999</v>
      </c>
      <c r="G1273" s="192">
        <f>SUM(G1271:G1272)</f>
        <v>0</v>
      </c>
      <c r="H1273" s="192">
        <f>SUM(H1271:H1272)</f>
        <v>4387.3686900000002</v>
      </c>
      <c r="I1273" s="192">
        <f>SUM(I1271:I1272)</f>
        <v>6500</v>
      </c>
      <c r="J1273" s="198">
        <f>SUM(J1271:J1272)</f>
        <v>0</v>
      </c>
      <c r="K1273" s="65"/>
    </row>
    <row r="1274" spans="1:12" s="68" customFormat="1" ht="26.4" x14ac:dyDescent="0.3">
      <c r="A1274" s="65">
        <v>1119</v>
      </c>
      <c r="B1274" s="66" t="s">
        <v>1907</v>
      </c>
      <c r="C1274" s="18" t="s">
        <v>1916</v>
      </c>
      <c r="D1274" s="80" t="s">
        <v>1917</v>
      </c>
      <c r="E1274" s="16" t="s">
        <v>19</v>
      </c>
      <c r="F1274" s="107">
        <f>3000000/1000</f>
        <v>3000</v>
      </c>
      <c r="G1274" s="107">
        <v>0</v>
      </c>
      <c r="H1274" s="107">
        <v>0</v>
      </c>
      <c r="I1274" s="107">
        <f>3000000/1000</f>
        <v>3000</v>
      </c>
      <c r="J1274" s="107">
        <v>0</v>
      </c>
      <c r="K1274" s="16" t="s">
        <v>1674</v>
      </c>
    </row>
    <row r="1275" spans="1:12" s="81" customFormat="1" x14ac:dyDescent="0.3">
      <c r="A1275" s="319" t="s">
        <v>1675</v>
      </c>
      <c r="B1275" s="320"/>
      <c r="C1275" s="321"/>
      <c r="D1275" s="84"/>
      <c r="E1275" s="65"/>
      <c r="F1275" s="192">
        <f>SUM(G1275:J1275)</f>
        <v>3000</v>
      </c>
      <c r="G1275" s="192">
        <f>SUM(G1274:G1274)</f>
        <v>0</v>
      </c>
      <c r="H1275" s="192">
        <f>SUM(H1274:H1274)</f>
        <v>0</v>
      </c>
      <c r="I1275" s="192">
        <f>SUM(I1274:I1274)</f>
        <v>3000</v>
      </c>
      <c r="J1275" s="198">
        <f>SUM(J1274:J1274)</f>
        <v>0</v>
      </c>
      <c r="K1275" s="65"/>
    </row>
    <row r="1276" spans="1:12" s="68" customFormat="1" ht="26.4" x14ac:dyDescent="0.3">
      <c r="A1276" s="87">
        <v>1120</v>
      </c>
      <c r="B1276" s="245" t="s">
        <v>1918</v>
      </c>
      <c r="C1276" s="18" t="s">
        <v>1919</v>
      </c>
      <c r="D1276" s="16" t="s">
        <v>1830</v>
      </c>
      <c r="E1276" s="16" t="s">
        <v>19</v>
      </c>
      <c r="F1276" s="107">
        <f>2489261.18/1000</f>
        <v>2489.26118</v>
      </c>
      <c r="G1276" s="107">
        <v>0</v>
      </c>
      <c r="H1276" s="107">
        <f>2489261.18/1000</f>
        <v>2489.26118</v>
      </c>
      <c r="I1276" s="107">
        <v>0</v>
      </c>
      <c r="J1276" s="107">
        <v>0</v>
      </c>
      <c r="K1276" s="16" t="s">
        <v>1848</v>
      </c>
    </row>
    <row r="1277" spans="1:12" s="68" customFormat="1" ht="26.4" x14ac:dyDescent="0.3">
      <c r="A1277" s="65">
        <v>1121</v>
      </c>
      <c r="B1277" s="315"/>
      <c r="C1277" s="18" t="s">
        <v>1920</v>
      </c>
      <c r="D1277" s="16" t="s">
        <v>1841</v>
      </c>
      <c r="E1277" s="16" t="s">
        <v>19</v>
      </c>
      <c r="F1277" s="107">
        <f>634994.45/1000</f>
        <v>634.99444999999992</v>
      </c>
      <c r="G1277" s="107">
        <v>0</v>
      </c>
      <c r="H1277" s="107">
        <f>634994.45/1000</f>
        <v>634.99444999999992</v>
      </c>
      <c r="I1277" s="107">
        <v>0</v>
      </c>
      <c r="J1277" s="107">
        <v>0</v>
      </c>
      <c r="K1277" s="16" t="s">
        <v>1848</v>
      </c>
    </row>
    <row r="1278" spans="1:12" s="68" customFormat="1" ht="26.4" x14ac:dyDescent="0.3">
      <c r="A1278" s="87">
        <v>1122</v>
      </c>
      <c r="B1278" s="315"/>
      <c r="C1278" s="18" t="s">
        <v>1921</v>
      </c>
      <c r="D1278" s="16" t="s">
        <v>1922</v>
      </c>
      <c r="E1278" s="16" t="s">
        <v>19</v>
      </c>
      <c r="F1278" s="107">
        <f>1828216.18/1000</f>
        <v>1828.2161799999999</v>
      </c>
      <c r="G1278" s="107">
        <v>0</v>
      </c>
      <c r="H1278" s="107">
        <f>1828216.18/1000</f>
        <v>1828.2161799999999</v>
      </c>
      <c r="I1278" s="107">
        <v>0</v>
      </c>
      <c r="J1278" s="107">
        <v>0</v>
      </c>
      <c r="K1278" s="16" t="s">
        <v>1848</v>
      </c>
    </row>
    <row r="1279" spans="1:12" s="68" customFormat="1" ht="26.4" x14ac:dyDescent="0.3">
      <c r="A1279" s="65">
        <v>1123</v>
      </c>
      <c r="B1279" s="246"/>
      <c r="C1279" s="18" t="s">
        <v>1923</v>
      </c>
      <c r="D1279" s="16" t="s">
        <v>1694</v>
      </c>
      <c r="E1279" s="16" t="s">
        <v>19</v>
      </c>
      <c r="F1279" s="107">
        <f>695265/1000</f>
        <v>695.26499999999999</v>
      </c>
      <c r="G1279" s="107">
        <v>0</v>
      </c>
      <c r="H1279" s="107">
        <f>695265/1000</f>
        <v>695.26499999999999</v>
      </c>
      <c r="I1279" s="107">
        <v>0</v>
      </c>
      <c r="J1279" s="107">
        <v>0</v>
      </c>
      <c r="K1279" s="16" t="s">
        <v>1848</v>
      </c>
    </row>
    <row r="1280" spans="1:12" s="81" customFormat="1" x14ac:dyDescent="0.3">
      <c r="A1280" s="322" t="s">
        <v>1628</v>
      </c>
      <c r="B1280" s="323"/>
      <c r="C1280" s="324"/>
      <c r="D1280" s="68"/>
      <c r="E1280" s="65"/>
      <c r="F1280" s="192">
        <f>SUM(G1280:J1280)</f>
        <v>5647.7368099999994</v>
      </c>
      <c r="G1280" s="192">
        <f>SUM(G1276:G1279)</f>
        <v>0</v>
      </c>
      <c r="H1280" s="192">
        <f>SUM(H1276:H1279)</f>
        <v>5647.7368099999994</v>
      </c>
      <c r="I1280" s="192">
        <f>SUM(I1276:I1279)</f>
        <v>0</v>
      </c>
      <c r="J1280" s="198">
        <f>SUM(J1276:J1279)</f>
        <v>0</v>
      </c>
      <c r="K1280" s="65"/>
    </row>
    <row r="1281" spans="1:11" s="81" customFormat="1" ht="26.4" x14ac:dyDescent="0.3">
      <c r="A1281" s="65">
        <v>1124</v>
      </c>
      <c r="B1281" s="245" t="s">
        <v>1918</v>
      </c>
      <c r="C1281" s="18" t="s">
        <v>1924</v>
      </c>
      <c r="D1281" s="16" t="s">
        <v>1694</v>
      </c>
      <c r="E1281" s="16" t="s">
        <v>19</v>
      </c>
      <c r="F1281" s="101">
        <f>695265/1000</f>
        <v>695.26499999999999</v>
      </c>
      <c r="G1281" s="101">
        <v>0</v>
      </c>
      <c r="H1281" s="101">
        <v>0</v>
      </c>
      <c r="I1281" s="101">
        <f>695265/1000</f>
        <v>695.26499999999999</v>
      </c>
      <c r="J1281" s="101">
        <v>0</v>
      </c>
      <c r="K1281" s="16" t="s">
        <v>1767</v>
      </c>
    </row>
    <row r="1282" spans="1:11" s="81" customFormat="1" ht="26.4" x14ac:dyDescent="0.3">
      <c r="A1282" s="65">
        <v>1125</v>
      </c>
      <c r="B1282" s="315"/>
      <c r="C1282" s="18" t="s">
        <v>1925</v>
      </c>
      <c r="D1282" s="16" t="s">
        <v>1841</v>
      </c>
      <c r="E1282" s="16" t="s">
        <v>19</v>
      </c>
      <c r="F1282" s="107">
        <f>634994.45/1000</f>
        <v>634.99444999999992</v>
      </c>
      <c r="G1282" s="107">
        <v>0</v>
      </c>
      <c r="H1282" s="107">
        <v>0</v>
      </c>
      <c r="I1282" s="107">
        <f>634994.45/1000</f>
        <v>634.99444999999992</v>
      </c>
      <c r="J1282" s="107">
        <v>0</v>
      </c>
      <c r="K1282" s="16" t="s">
        <v>1767</v>
      </c>
    </row>
    <row r="1283" spans="1:11" s="81" customFormat="1" ht="26.4" x14ac:dyDescent="0.3">
      <c r="A1283" s="65">
        <f t="shared" ref="A1283:A1284" si="108">A1282+1</f>
        <v>1126</v>
      </c>
      <c r="B1283" s="315"/>
      <c r="C1283" s="18" t="s">
        <v>1926</v>
      </c>
      <c r="D1283" s="16" t="s">
        <v>1922</v>
      </c>
      <c r="E1283" s="16" t="s">
        <v>19</v>
      </c>
      <c r="F1283" s="107">
        <f>1828216.18/1000</f>
        <v>1828.2161799999999</v>
      </c>
      <c r="G1283" s="107">
        <v>0</v>
      </c>
      <c r="H1283" s="107">
        <v>0</v>
      </c>
      <c r="I1283" s="107">
        <f>1828216.18/1000</f>
        <v>1828.2161799999999</v>
      </c>
      <c r="J1283" s="107">
        <v>0</v>
      </c>
      <c r="K1283" s="16" t="s">
        <v>1767</v>
      </c>
    </row>
    <row r="1284" spans="1:11" s="81" customFormat="1" ht="26.4" x14ac:dyDescent="0.3">
      <c r="A1284" s="65">
        <f t="shared" si="108"/>
        <v>1127</v>
      </c>
      <c r="B1284" s="246"/>
      <c r="C1284" s="18" t="s">
        <v>1927</v>
      </c>
      <c r="D1284" s="16" t="s">
        <v>1830</v>
      </c>
      <c r="E1284" s="16" t="s">
        <v>19</v>
      </c>
      <c r="F1284" s="107">
        <f>2489261.18/1000</f>
        <v>2489.26118</v>
      </c>
      <c r="G1284" s="107">
        <v>0</v>
      </c>
      <c r="H1284" s="107">
        <v>0</v>
      </c>
      <c r="I1284" s="107">
        <f>2489261.18/1000</f>
        <v>2489.26118</v>
      </c>
      <c r="J1284" s="107">
        <v>0</v>
      </c>
      <c r="K1284" s="16" t="s">
        <v>1767</v>
      </c>
    </row>
    <row r="1285" spans="1:11" s="81" customFormat="1" x14ac:dyDescent="0.3">
      <c r="A1285" s="319" t="s">
        <v>1622</v>
      </c>
      <c r="B1285" s="320"/>
      <c r="C1285" s="321"/>
      <c r="D1285" s="16"/>
      <c r="E1285" s="65"/>
      <c r="F1285" s="192">
        <f>SUM(G1285:J1285)</f>
        <v>5647.7368100000003</v>
      </c>
      <c r="G1285" s="192">
        <f>SUM(G1281:G1284)</f>
        <v>0</v>
      </c>
      <c r="H1285" s="192">
        <f>SUM(H1281:H1284)</f>
        <v>0</v>
      </c>
      <c r="I1285" s="192">
        <f>SUM(I1281:I1284)</f>
        <v>5647.7368100000003</v>
      </c>
      <c r="J1285" s="198">
        <f>SUM(J1281:J1284)</f>
        <v>0</v>
      </c>
      <c r="K1285" s="65"/>
    </row>
    <row r="1286" spans="1:11" s="68" customFormat="1" ht="26.4" x14ac:dyDescent="0.3">
      <c r="A1286" s="87">
        <v>1128</v>
      </c>
      <c r="B1286" s="245" t="s">
        <v>1928</v>
      </c>
      <c r="C1286" s="18" t="s">
        <v>1929</v>
      </c>
      <c r="D1286" s="16" t="s">
        <v>1666</v>
      </c>
      <c r="E1286" s="16" t="s">
        <v>18</v>
      </c>
      <c r="F1286" s="107">
        <f>275031/1000</f>
        <v>275.03100000000001</v>
      </c>
      <c r="G1286" s="107">
        <f>275031/1000</f>
        <v>275.03100000000001</v>
      </c>
      <c r="H1286" s="107">
        <v>0</v>
      </c>
      <c r="I1286" s="107">
        <v>0</v>
      </c>
      <c r="J1286" s="107">
        <v>0</v>
      </c>
      <c r="K1286" s="16" t="s">
        <v>1635</v>
      </c>
    </row>
    <row r="1287" spans="1:11" s="68" customFormat="1" ht="26.4" x14ac:dyDescent="0.3">
      <c r="A1287" s="65">
        <v>1129</v>
      </c>
      <c r="B1287" s="315"/>
      <c r="C1287" s="18" t="s">
        <v>1930</v>
      </c>
      <c r="D1287" s="16" t="s">
        <v>1931</v>
      </c>
      <c r="E1287" s="16" t="s">
        <v>18</v>
      </c>
      <c r="F1287" s="107">
        <f>2900000/1000</f>
        <v>2900</v>
      </c>
      <c r="G1287" s="107">
        <f>2900000/1000</f>
        <v>2900</v>
      </c>
      <c r="H1287" s="107">
        <v>0</v>
      </c>
      <c r="I1287" s="107">
        <v>0</v>
      </c>
      <c r="J1287" s="107">
        <v>0</v>
      </c>
      <c r="K1287" s="16" t="s">
        <v>1635</v>
      </c>
    </row>
    <row r="1288" spans="1:11" s="68" customFormat="1" ht="26.4" x14ac:dyDescent="0.3">
      <c r="A1288" s="87">
        <v>1130</v>
      </c>
      <c r="B1288" s="315"/>
      <c r="C1288" s="18" t="s">
        <v>1932</v>
      </c>
      <c r="D1288" s="16" t="s">
        <v>1933</v>
      </c>
      <c r="E1288" s="16" t="s">
        <v>19</v>
      </c>
      <c r="F1288" s="107">
        <f>101171/1000</f>
        <v>101.17100000000001</v>
      </c>
      <c r="G1288" s="107">
        <f>101171/1000</f>
        <v>101.17100000000001</v>
      </c>
      <c r="H1288" s="107">
        <v>0</v>
      </c>
      <c r="I1288" s="107">
        <v>0</v>
      </c>
      <c r="J1288" s="107">
        <v>0</v>
      </c>
      <c r="K1288" s="16" t="s">
        <v>1635</v>
      </c>
    </row>
    <row r="1289" spans="1:11" s="68" customFormat="1" ht="26.4" x14ac:dyDescent="0.3">
      <c r="A1289" s="65">
        <v>1131</v>
      </c>
      <c r="B1289" s="246"/>
      <c r="C1289" s="18" t="s">
        <v>1934</v>
      </c>
      <c r="D1289" s="16" t="s">
        <v>1935</v>
      </c>
      <c r="E1289" s="16" t="s">
        <v>18</v>
      </c>
      <c r="F1289" s="107">
        <f>120362/1000</f>
        <v>120.36199999999999</v>
      </c>
      <c r="G1289" s="107">
        <f>120362/1000</f>
        <v>120.36199999999999</v>
      </c>
      <c r="H1289" s="107">
        <v>0</v>
      </c>
      <c r="I1289" s="107">
        <v>0</v>
      </c>
      <c r="J1289" s="107">
        <v>0</v>
      </c>
      <c r="K1289" s="16" t="s">
        <v>1635</v>
      </c>
    </row>
    <row r="1290" spans="1:11" s="81" customFormat="1" x14ac:dyDescent="0.3">
      <c r="A1290" s="319" t="s">
        <v>1628</v>
      </c>
      <c r="B1290" s="320"/>
      <c r="C1290" s="321"/>
      <c r="D1290" s="84"/>
      <c r="E1290" s="65"/>
      <c r="F1290" s="192">
        <f t="shared" ref="F1290" si="109">SUM(G1290:J1290)</f>
        <v>3396.5639999999999</v>
      </c>
      <c r="G1290" s="192">
        <f>SUM(G1286:G1289)</f>
        <v>3396.5639999999999</v>
      </c>
      <c r="H1290" s="192">
        <f>SUM(H1286:H1289)</f>
        <v>0</v>
      </c>
      <c r="I1290" s="192">
        <f>SUM(I1286:I1289)</f>
        <v>0</v>
      </c>
      <c r="J1290" s="198">
        <f>SUM(J1286:J1289)</f>
        <v>0</v>
      </c>
      <c r="K1290" s="65"/>
    </row>
    <row r="1291" spans="1:11" s="68" customFormat="1" ht="26.4" x14ac:dyDescent="0.3">
      <c r="A1291" s="65">
        <v>1132</v>
      </c>
      <c r="B1291" s="66" t="s">
        <v>1928</v>
      </c>
      <c r="C1291" s="18" t="s">
        <v>1936</v>
      </c>
      <c r="D1291" s="16" t="s">
        <v>1691</v>
      </c>
      <c r="E1291" s="16" t="s">
        <v>19</v>
      </c>
      <c r="F1291" s="107">
        <f>19484207/1000</f>
        <v>19484.206999999999</v>
      </c>
      <c r="G1291" s="107">
        <v>0</v>
      </c>
      <c r="H1291" s="107">
        <f>19484207/1000</f>
        <v>19484.206999999999</v>
      </c>
      <c r="I1291" s="107">
        <v>0</v>
      </c>
      <c r="J1291" s="107">
        <v>0</v>
      </c>
      <c r="K1291" s="16" t="s">
        <v>1838</v>
      </c>
    </row>
    <row r="1292" spans="1:11" s="81" customFormat="1" x14ac:dyDescent="0.3">
      <c r="A1292" s="319" t="s">
        <v>1622</v>
      </c>
      <c r="B1292" s="320"/>
      <c r="C1292" s="321"/>
      <c r="D1292" s="84"/>
      <c r="E1292" s="65"/>
      <c r="F1292" s="192">
        <f>SUM(G1292:J1292)</f>
        <v>19484.206999999999</v>
      </c>
      <c r="G1292" s="192">
        <f>SUM(G1291:G1291)</f>
        <v>0</v>
      </c>
      <c r="H1292" s="192">
        <f>SUM(H1291:H1291)</f>
        <v>19484.206999999999</v>
      </c>
      <c r="I1292" s="192">
        <f>SUM(I1291:I1291)</f>
        <v>0</v>
      </c>
      <c r="J1292" s="198">
        <f>SUM(J1291:J1291)</f>
        <v>0</v>
      </c>
      <c r="K1292" s="65"/>
    </row>
    <row r="1293" spans="1:11" s="68" customFormat="1" ht="26.4" x14ac:dyDescent="0.3">
      <c r="A1293" s="65">
        <v>1133</v>
      </c>
      <c r="B1293" s="66" t="s">
        <v>1928</v>
      </c>
      <c r="C1293" s="18" t="s">
        <v>1937</v>
      </c>
      <c r="D1293" s="16" t="s">
        <v>1691</v>
      </c>
      <c r="E1293" s="16" t="s">
        <v>19</v>
      </c>
      <c r="F1293" s="107">
        <f>19484207/1000</f>
        <v>19484.206999999999</v>
      </c>
      <c r="G1293" s="107">
        <v>0</v>
      </c>
      <c r="H1293" s="107">
        <v>0</v>
      </c>
      <c r="I1293" s="107">
        <f>19484207/1000</f>
        <v>19484.206999999999</v>
      </c>
      <c r="J1293" s="107">
        <v>0</v>
      </c>
      <c r="K1293" s="16" t="s">
        <v>1938</v>
      </c>
    </row>
    <row r="1294" spans="1:11" s="81" customFormat="1" x14ac:dyDescent="0.3">
      <c r="A1294" s="319" t="s">
        <v>1675</v>
      </c>
      <c r="B1294" s="320"/>
      <c r="C1294" s="321"/>
      <c r="D1294" s="84"/>
      <c r="E1294" s="65"/>
      <c r="F1294" s="192">
        <f t="shared" ref="F1294" si="110">SUM(G1294:J1294)</f>
        <v>19484.206999999999</v>
      </c>
      <c r="G1294" s="192">
        <f>SUM(G1293:G1293)</f>
        <v>0</v>
      </c>
      <c r="H1294" s="192">
        <f>SUM(H1293:H1293)</f>
        <v>0</v>
      </c>
      <c r="I1294" s="192">
        <f>SUM(I1293:I1293)</f>
        <v>19484.206999999999</v>
      </c>
      <c r="J1294" s="198">
        <f>SUM(J1293:J1293)</f>
        <v>0</v>
      </c>
      <c r="K1294" s="65"/>
    </row>
    <row r="1295" spans="1:11" s="81" customFormat="1" ht="26.4" x14ac:dyDescent="0.3">
      <c r="A1295" s="85">
        <v>1134</v>
      </c>
      <c r="B1295" s="294" t="s">
        <v>1939</v>
      </c>
      <c r="C1295" s="86" t="s">
        <v>1940</v>
      </c>
      <c r="D1295" s="80" t="s">
        <v>137</v>
      </c>
      <c r="E1295" s="16" t="s">
        <v>19</v>
      </c>
      <c r="F1295" s="107">
        <f>4073400/1000</f>
        <v>4073.4</v>
      </c>
      <c r="G1295" s="107">
        <v>0</v>
      </c>
      <c r="H1295" s="107">
        <f>3065745/1000</f>
        <v>3065.7449999999999</v>
      </c>
      <c r="I1295" s="107">
        <f>1007655/1000</f>
        <v>1007.655</v>
      </c>
      <c r="J1295" s="107">
        <v>0</v>
      </c>
      <c r="K1295" s="16" t="s">
        <v>1836</v>
      </c>
    </row>
    <row r="1296" spans="1:11" s="81" customFormat="1" ht="26.4" x14ac:dyDescent="0.3">
      <c r="A1296" s="85">
        <f>A1295+1</f>
        <v>1135</v>
      </c>
      <c r="B1296" s="305"/>
      <c r="C1296" s="86" t="s">
        <v>1941</v>
      </c>
      <c r="D1296" s="80" t="s">
        <v>1691</v>
      </c>
      <c r="E1296" s="16" t="s">
        <v>19</v>
      </c>
      <c r="F1296" s="107">
        <f>4371570/1000</f>
        <v>4371.57</v>
      </c>
      <c r="G1296" s="107">
        <v>0</v>
      </c>
      <c r="H1296" s="107">
        <f>4371570/1000</f>
        <v>4371.57</v>
      </c>
      <c r="I1296" s="107">
        <v>0</v>
      </c>
      <c r="J1296" s="107">
        <v>0</v>
      </c>
      <c r="K1296" s="16" t="s">
        <v>1661</v>
      </c>
    </row>
    <row r="1297" spans="1:11" s="81" customFormat="1" ht="26.4" x14ac:dyDescent="0.3">
      <c r="A1297" s="85">
        <f t="shared" ref="A1297:A1303" si="111">A1296+1</f>
        <v>1136</v>
      </c>
      <c r="B1297" s="305"/>
      <c r="C1297" s="86" t="s">
        <v>1942</v>
      </c>
      <c r="D1297" s="80" t="s">
        <v>1691</v>
      </c>
      <c r="E1297" s="16" t="s">
        <v>19</v>
      </c>
      <c r="F1297" s="107">
        <f>3898500/1000</f>
        <v>3898.5</v>
      </c>
      <c r="G1297" s="107">
        <v>0</v>
      </c>
      <c r="H1297" s="107">
        <f>3898500/1000</f>
        <v>3898.5</v>
      </c>
      <c r="I1297" s="107">
        <v>0</v>
      </c>
      <c r="J1297" s="107">
        <v>0</v>
      </c>
      <c r="K1297" s="16" t="s">
        <v>1661</v>
      </c>
    </row>
    <row r="1298" spans="1:11" s="81" customFormat="1" ht="26.4" x14ac:dyDescent="0.3">
      <c r="A1298" s="85">
        <f t="shared" si="111"/>
        <v>1137</v>
      </c>
      <c r="B1298" s="305"/>
      <c r="C1298" s="86" t="s">
        <v>1943</v>
      </c>
      <c r="D1298" s="80" t="s">
        <v>1944</v>
      </c>
      <c r="E1298" s="16" t="s">
        <v>19</v>
      </c>
      <c r="F1298" s="107">
        <f>560000/1000</f>
        <v>560</v>
      </c>
      <c r="G1298" s="107">
        <v>0</v>
      </c>
      <c r="H1298" s="107">
        <f>560000/1000</f>
        <v>560</v>
      </c>
      <c r="I1298" s="107">
        <v>0</v>
      </c>
      <c r="J1298" s="107">
        <v>0</v>
      </c>
      <c r="K1298" s="16" t="s">
        <v>1661</v>
      </c>
    </row>
    <row r="1299" spans="1:11" s="81" customFormat="1" ht="26.4" x14ac:dyDescent="0.3">
      <c r="A1299" s="85">
        <f t="shared" si="111"/>
        <v>1138</v>
      </c>
      <c r="B1299" s="305"/>
      <c r="C1299" s="86" t="s">
        <v>1945</v>
      </c>
      <c r="D1299" s="80" t="s">
        <v>1841</v>
      </c>
      <c r="E1299" s="16" t="s">
        <v>19</v>
      </c>
      <c r="F1299" s="107">
        <f>810060/1000</f>
        <v>810.06</v>
      </c>
      <c r="G1299" s="107">
        <v>0</v>
      </c>
      <c r="H1299" s="107">
        <f>810060/1000</f>
        <v>810.06</v>
      </c>
      <c r="I1299" s="107">
        <v>0</v>
      </c>
      <c r="J1299" s="107">
        <v>0</v>
      </c>
      <c r="K1299" s="16" t="s">
        <v>1661</v>
      </c>
    </row>
    <row r="1300" spans="1:11" s="81" customFormat="1" ht="26.4" x14ac:dyDescent="0.3">
      <c r="A1300" s="85">
        <f t="shared" si="111"/>
        <v>1139</v>
      </c>
      <c r="B1300" s="305"/>
      <c r="C1300" s="86" t="s">
        <v>1946</v>
      </c>
      <c r="D1300" s="80" t="s">
        <v>1691</v>
      </c>
      <c r="E1300" s="16" t="s">
        <v>19</v>
      </c>
      <c r="F1300" s="107">
        <f>3606031/1000</f>
        <v>3606.0309999999999</v>
      </c>
      <c r="G1300" s="107">
        <v>0</v>
      </c>
      <c r="H1300" s="107">
        <f>3606031/1000</f>
        <v>3606.0309999999999</v>
      </c>
      <c r="I1300" s="107">
        <v>0</v>
      </c>
      <c r="J1300" s="107">
        <v>0</v>
      </c>
      <c r="K1300" s="16" t="s">
        <v>1661</v>
      </c>
    </row>
    <row r="1301" spans="1:11" s="81" customFormat="1" ht="26.4" x14ac:dyDescent="0.3">
      <c r="A1301" s="85">
        <f t="shared" si="111"/>
        <v>1140</v>
      </c>
      <c r="B1301" s="305"/>
      <c r="C1301" s="86" t="s">
        <v>1947</v>
      </c>
      <c r="D1301" s="80" t="s">
        <v>1694</v>
      </c>
      <c r="E1301" s="16" t="s">
        <v>19</v>
      </c>
      <c r="F1301" s="107">
        <f>1752080/1000</f>
        <v>1752.08</v>
      </c>
      <c r="G1301" s="107">
        <v>0</v>
      </c>
      <c r="H1301" s="107">
        <f>1752080/1000</f>
        <v>1752.08</v>
      </c>
      <c r="I1301" s="107">
        <v>0</v>
      </c>
      <c r="J1301" s="107">
        <v>0</v>
      </c>
      <c r="K1301" s="16" t="s">
        <v>1661</v>
      </c>
    </row>
    <row r="1302" spans="1:11" s="81" customFormat="1" ht="26.4" x14ac:dyDescent="0.3">
      <c r="A1302" s="85">
        <f t="shared" si="111"/>
        <v>1141</v>
      </c>
      <c r="B1302" s="305"/>
      <c r="C1302" s="86" t="s">
        <v>1948</v>
      </c>
      <c r="D1302" s="80" t="s">
        <v>1738</v>
      </c>
      <c r="E1302" s="16" t="s">
        <v>19</v>
      </c>
      <c r="F1302" s="107">
        <f>4227517.24/1000</f>
        <v>4227.5172400000001</v>
      </c>
      <c r="G1302" s="107">
        <f>4227517.24/1000</f>
        <v>4227.5172400000001</v>
      </c>
      <c r="H1302" s="107">
        <v>0</v>
      </c>
      <c r="I1302" s="107">
        <v>0</v>
      </c>
      <c r="J1302" s="107">
        <v>0</v>
      </c>
      <c r="K1302" s="16" t="s">
        <v>1635</v>
      </c>
    </row>
    <row r="1303" spans="1:11" s="81" customFormat="1" ht="26.4" x14ac:dyDescent="0.3">
      <c r="A1303" s="85">
        <f t="shared" si="111"/>
        <v>1142</v>
      </c>
      <c r="B1303" s="295"/>
      <c r="C1303" s="86" t="s">
        <v>1949</v>
      </c>
      <c r="D1303" s="80" t="s">
        <v>1652</v>
      </c>
      <c r="E1303" s="16" t="s">
        <v>19</v>
      </c>
      <c r="F1303" s="107">
        <f>593217/1000</f>
        <v>593.21699999999998</v>
      </c>
      <c r="G1303" s="107">
        <f>593217/1000</f>
        <v>593.21699999999998</v>
      </c>
      <c r="H1303" s="107">
        <v>0</v>
      </c>
      <c r="I1303" s="107">
        <v>0</v>
      </c>
      <c r="J1303" s="107">
        <v>0</v>
      </c>
      <c r="K1303" s="16" t="s">
        <v>1635</v>
      </c>
    </row>
    <row r="1304" spans="1:11" s="81" customFormat="1" x14ac:dyDescent="0.3">
      <c r="A1304" s="302" t="s">
        <v>1628</v>
      </c>
      <c r="B1304" s="303"/>
      <c r="C1304" s="304"/>
      <c r="D1304" s="89"/>
      <c r="E1304" s="65"/>
      <c r="F1304" s="192">
        <f>SUM(G1304:J1304)</f>
        <v>23892.375239999994</v>
      </c>
      <c r="G1304" s="192">
        <f>SUM(G1295:G1303)</f>
        <v>4820.7342399999998</v>
      </c>
      <c r="H1304" s="192">
        <f>SUM(H1295:H1303)</f>
        <v>18063.985999999997</v>
      </c>
      <c r="I1304" s="192">
        <f>SUM(I1295:I1303)</f>
        <v>1007.655</v>
      </c>
      <c r="J1304" s="192">
        <f>SUM(J1302:J1302)</f>
        <v>0</v>
      </c>
      <c r="K1304" s="65"/>
    </row>
    <row r="1305" spans="1:11" s="81" customFormat="1" ht="26.4" x14ac:dyDescent="0.3">
      <c r="A1305" s="85">
        <v>1143</v>
      </c>
      <c r="B1305" s="294" t="s">
        <v>1939</v>
      </c>
      <c r="C1305" s="86" t="s">
        <v>1950</v>
      </c>
      <c r="D1305" s="80" t="s">
        <v>1691</v>
      </c>
      <c r="E1305" s="16" t="s">
        <v>19</v>
      </c>
      <c r="F1305" s="107">
        <f>4371570/1000</f>
        <v>4371.57</v>
      </c>
      <c r="G1305" s="107">
        <v>0</v>
      </c>
      <c r="H1305" s="107">
        <v>0</v>
      </c>
      <c r="I1305" s="107">
        <f>4371570/1000</f>
        <v>4371.57</v>
      </c>
      <c r="J1305" s="107">
        <v>0</v>
      </c>
      <c r="K1305" s="16" t="s">
        <v>1804</v>
      </c>
    </row>
    <row r="1306" spans="1:11" s="81" customFormat="1" ht="26.4" x14ac:dyDescent="0.3">
      <c r="A1306" s="85">
        <v>1144</v>
      </c>
      <c r="B1306" s="305"/>
      <c r="C1306" s="86" t="s">
        <v>1951</v>
      </c>
      <c r="D1306" s="80" t="s">
        <v>1691</v>
      </c>
      <c r="E1306" s="16" t="s">
        <v>19</v>
      </c>
      <c r="F1306" s="107">
        <f>3898500/1000</f>
        <v>3898.5</v>
      </c>
      <c r="G1306" s="107">
        <v>0</v>
      </c>
      <c r="H1306" s="107">
        <v>0</v>
      </c>
      <c r="I1306" s="107">
        <f>3898500/1000</f>
        <v>3898.5</v>
      </c>
      <c r="J1306" s="107">
        <v>0</v>
      </c>
      <c r="K1306" s="16" t="s">
        <v>1804</v>
      </c>
    </row>
    <row r="1307" spans="1:11" s="81" customFormat="1" ht="26.4" x14ac:dyDescent="0.3">
      <c r="A1307" s="85">
        <f t="shared" ref="A1307:A1312" si="112">A1306+1</f>
        <v>1145</v>
      </c>
      <c r="B1307" s="305"/>
      <c r="C1307" s="86" t="s">
        <v>1952</v>
      </c>
      <c r="D1307" s="80" t="s">
        <v>1944</v>
      </c>
      <c r="E1307" s="16" t="s">
        <v>19</v>
      </c>
      <c r="F1307" s="107">
        <f>560000/1000</f>
        <v>560</v>
      </c>
      <c r="G1307" s="107">
        <v>0</v>
      </c>
      <c r="H1307" s="107">
        <v>0</v>
      </c>
      <c r="I1307" s="107">
        <f>560000/1000</f>
        <v>560</v>
      </c>
      <c r="J1307" s="107">
        <v>0</v>
      </c>
      <c r="K1307" s="16" t="s">
        <v>1804</v>
      </c>
    </row>
    <row r="1308" spans="1:11" s="81" customFormat="1" ht="26.4" x14ac:dyDescent="0.3">
      <c r="A1308" s="85">
        <f t="shared" si="112"/>
        <v>1146</v>
      </c>
      <c r="B1308" s="305"/>
      <c r="C1308" s="86" t="s">
        <v>1953</v>
      </c>
      <c r="D1308" s="80" t="s">
        <v>1841</v>
      </c>
      <c r="E1308" s="16" t="s">
        <v>19</v>
      </c>
      <c r="F1308" s="107">
        <f>810060/1000</f>
        <v>810.06</v>
      </c>
      <c r="G1308" s="107">
        <v>0</v>
      </c>
      <c r="H1308" s="107">
        <v>0</v>
      </c>
      <c r="I1308" s="107">
        <f>810060/1000</f>
        <v>810.06</v>
      </c>
      <c r="J1308" s="107">
        <v>0</v>
      </c>
      <c r="K1308" s="16" t="s">
        <v>1804</v>
      </c>
    </row>
    <row r="1309" spans="1:11" s="81" customFormat="1" ht="26.4" x14ac:dyDescent="0.3">
      <c r="A1309" s="85">
        <f t="shared" si="112"/>
        <v>1147</v>
      </c>
      <c r="B1309" s="305"/>
      <c r="C1309" s="86" t="s">
        <v>1954</v>
      </c>
      <c r="D1309" s="80" t="s">
        <v>1691</v>
      </c>
      <c r="E1309" s="16" t="s">
        <v>19</v>
      </c>
      <c r="F1309" s="107">
        <f>3606031/1000</f>
        <v>3606.0309999999999</v>
      </c>
      <c r="G1309" s="107">
        <v>0</v>
      </c>
      <c r="H1309" s="107">
        <v>0</v>
      </c>
      <c r="I1309" s="107">
        <f>3606031/1000</f>
        <v>3606.0309999999999</v>
      </c>
      <c r="J1309" s="107">
        <v>0</v>
      </c>
      <c r="K1309" s="16" t="s">
        <v>1804</v>
      </c>
    </row>
    <row r="1310" spans="1:11" s="81" customFormat="1" ht="26.4" x14ac:dyDescent="0.3">
      <c r="A1310" s="85">
        <f t="shared" si="112"/>
        <v>1148</v>
      </c>
      <c r="B1310" s="305"/>
      <c r="C1310" s="86" t="s">
        <v>1955</v>
      </c>
      <c r="D1310" s="80" t="s">
        <v>1694</v>
      </c>
      <c r="E1310" s="16" t="s">
        <v>19</v>
      </c>
      <c r="F1310" s="107">
        <f>1752080/1000</f>
        <v>1752.08</v>
      </c>
      <c r="G1310" s="107">
        <v>0</v>
      </c>
      <c r="H1310" s="107">
        <v>0</v>
      </c>
      <c r="I1310" s="107">
        <f>1752080/1000</f>
        <v>1752.08</v>
      </c>
      <c r="J1310" s="107">
        <v>0</v>
      </c>
      <c r="K1310" s="16" t="s">
        <v>1804</v>
      </c>
    </row>
    <row r="1311" spans="1:11" s="81" customFormat="1" ht="26.4" x14ac:dyDescent="0.3">
      <c r="A1311" s="85">
        <f t="shared" si="112"/>
        <v>1149</v>
      </c>
      <c r="B1311" s="305"/>
      <c r="C1311" s="86" t="s">
        <v>1956</v>
      </c>
      <c r="D1311" s="80" t="s">
        <v>1738</v>
      </c>
      <c r="E1311" s="16" t="s">
        <v>19</v>
      </c>
      <c r="F1311" s="107">
        <f>4227517.24/1000</f>
        <v>4227.5172400000001</v>
      </c>
      <c r="G1311" s="107">
        <v>0</v>
      </c>
      <c r="H1311" s="107">
        <f>4227517.24/1000</f>
        <v>4227.5172400000001</v>
      </c>
      <c r="I1311" s="107">
        <v>0</v>
      </c>
      <c r="J1311" s="107">
        <v>0</v>
      </c>
      <c r="K1311" s="16" t="s">
        <v>1672</v>
      </c>
    </row>
    <row r="1312" spans="1:11" s="81" customFormat="1" ht="26.4" x14ac:dyDescent="0.3">
      <c r="A1312" s="85">
        <f t="shared" si="112"/>
        <v>1150</v>
      </c>
      <c r="B1312" s="295"/>
      <c r="C1312" s="86" t="s">
        <v>1957</v>
      </c>
      <c r="D1312" s="80" t="s">
        <v>1652</v>
      </c>
      <c r="E1312" s="16" t="s">
        <v>19</v>
      </c>
      <c r="F1312" s="107">
        <f>593217/1000</f>
        <v>593.21699999999998</v>
      </c>
      <c r="G1312" s="107">
        <v>0</v>
      </c>
      <c r="H1312" s="107">
        <f>593217/1000</f>
        <v>593.21699999999998</v>
      </c>
      <c r="I1312" s="107">
        <v>0</v>
      </c>
      <c r="J1312" s="107">
        <v>0</v>
      </c>
      <c r="K1312" s="16" t="s">
        <v>1672</v>
      </c>
    </row>
    <row r="1313" spans="1:12" s="81" customFormat="1" x14ac:dyDescent="0.3">
      <c r="A1313" s="302" t="s">
        <v>1622</v>
      </c>
      <c r="B1313" s="303"/>
      <c r="C1313" s="304"/>
      <c r="D1313" s="80"/>
      <c r="E1313" s="65"/>
      <c r="F1313" s="192">
        <f>SUM(G1313:J1313)</f>
        <v>19818.97524</v>
      </c>
      <c r="G1313" s="192">
        <f>SUM(G1305:G1312)</f>
        <v>0</v>
      </c>
      <c r="H1313" s="192">
        <f>SUM(H1305:H1312)</f>
        <v>4820.7342399999998</v>
      </c>
      <c r="I1313" s="192">
        <f>SUM(I1305:I1312)</f>
        <v>14998.241</v>
      </c>
      <c r="J1313" s="198">
        <f>SUM(J1305:J1311)</f>
        <v>0</v>
      </c>
      <c r="K1313" s="65"/>
    </row>
    <row r="1314" spans="1:12" s="81" customFormat="1" ht="26.4" x14ac:dyDescent="0.3">
      <c r="A1314" s="87">
        <v>1151</v>
      </c>
      <c r="B1314" s="294" t="s">
        <v>1939</v>
      </c>
      <c r="C1314" s="86" t="s">
        <v>1958</v>
      </c>
      <c r="D1314" s="80" t="s">
        <v>1738</v>
      </c>
      <c r="E1314" s="16" t="s">
        <v>19</v>
      </c>
      <c r="F1314" s="107">
        <f>4227517.24/1000</f>
        <v>4227.5172400000001</v>
      </c>
      <c r="G1314" s="107">
        <v>0</v>
      </c>
      <c r="H1314" s="107">
        <v>0</v>
      </c>
      <c r="I1314" s="107">
        <f>4227517.24/1000</f>
        <v>4227.5172400000001</v>
      </c>
      <c r="J1314" s="107">
        <v>0</v>
      </c>
      <c r="K1314" s="16" t="s">
        <v>1674</v>
      </c>
    </row>
    <row r="1315" spans="1:12" s="81" customFormat="1" ht="26.4" x14ac:dyDescent="0.3">
      <c r="A1315" s="87">
        <v>1152</v>
      </c>
      <c r="B1315" s="295"/>
      <c r="C1315" s="86" t="s">
        <v>1959</v>
      </c>
      <c r="D1315" s="80" t="s">
        <v>1652</v>
      </c>
      <c r="E1315" s="16" t="s">
        <v>19</v>
      </c>
      <c r="F1315" s="107">
        <f>593217/1000</f>
        <v>593.21699999999998</v>
      </c>
      <c r="G1315" s="107">
        <v>0</v>
      </c>
      <c r="H1315" s="107">
        <v>0</v>
      </c>
      <c r="I1315" s="107">
        <f>593217/1000</f>
        <v>593.21699999999998</v>
      </c>
      <c r="J1315" s="107">
        <v>0</v>
      </c>
      <c r="K1315" s="16" t="s">
        <v>1674</v>
      </c>
    </row>
    <row r="1316" spans="1:12" s="81" customFormat="1" x14ac:dyDescent="0.3">
      <c r="A1316" s="319" t="s">
        <v>1675</v>
      </c>
      <c r="B1316" s="320"/>
      <c r="C1316" s="321"/>
      <c r="D1316" s="84"/>
      <c r="E1316" s="65"/>
      <c r="F1316" s="192">
        <f>SUM(G1316:J1316)</f>
        <v>4820.7342399999998</v>
      </c>
      <c r="G1316" s="192">
        <f>SUM(G1314:G1315)</f>
        <v>0</v>
      </c>
      <c r="H1316" s="192">
        <f>SUM(H1314:H1315)</f>
        <v>0</v>
      </c>
      <c r="I1316" s="192">
        <f>SUM(I1314:I1315)</f>
        <v>4820.7342399999998</v>
      </c>
      <c r="J1316" s="198">
        <f t="shared" ref="J1316" si="113">SUM(J1314:J1315)</f>
        <v>0</v>
      </c>
      <c r="K1316" s="65"/>
    </row>
    <row r="1317" spans="1:12" s="68" customFormat="1" ht="26.4" x14ac:dyDescent="0.3">
      <c r="A1317" s="87">
        <v>1153</v>
      </c>
      <c r="B1317" s="294" t="s">
        <v>1960</v>
      </c>
      <c r="C1317" s="86" t="s">
        <v>1961</v>
      </c>
      <c r="D1317" s="80" t="s">
        <v>1652</v>
      </c>
      <c r="E1317" s="16" t="s">
        <v>19</v>
      </c>
      <c r="F1317" s="107">
        <f>320000/1000</f>
        <v>320</v>
      </c>
      <c r="G1317" s="107">
        <f>320000/1000</f>
        <v>320</v>
      </c>
      <c r="H1317" s="107">
        <v>0</v>
      </c>
      <c r="I1317" s="107">
        <v>0</v>
      </c>
      <c r="J1317" s="107">
        <v>0</v>
      </c>
      <c r="K1317" s="16" t="s">
        <v>1635</v>
      </c>
    </row>
    <row r="1318" spans="1:12" s="68" customFormat="1" ht="26.4" x14ac:dyDescent="0.3">
      <c r="A1318" s="87">
        <v>1154</v>
      </c>
      <c r="B1318" s="305"/>
      <c r="C1318" s="86" t="s">
        <v>1962</v>
      </c>
      <c r="D1318" s="80" t="s">
        <v>137</v>
      </c>
      <c r="E1318" s="16" t="s">
        <v>19</v>
      </c>
      <c r="F1318" s="107">
        <f>4204800/1000</f>
        <v>4204.8</v>
      </c>
      <c r="G1318" s="107">
        <f>2104800/1000</f>
        <v>2104.8000000000002</v>
      </c>
      <c r="H1318" s="107">
        <f>2100000/1000</f>
        <v>2100</v>
      </c>
      <c r="I1318" s="107">
        <v>0</v>
      </c>
      <c r="J1318" s="107">
        <v>0</v>
      </c>
      <c r="K1318" s="16" t="s">
        <v>1635</v>
      </c>
    </row>
    <row r="1319" spans="1:12" s="68" customFormat="1" ht="26.4" x14ac:dyDescent="0.3">
      <c r="A1319" s="87">
        <v>1155</v>
      </c>
      <c r="B1319" s="295"/>
      <c r="C1319" s="86" t="s">
        <v>1963</v>
      </c>
      <c r="D1319" s="80" t="s">
        <v>1691</v>
      </c>
      <c r="E1319" s="16" t="s">
        <v>19</v>
      </c>
      <c r="F1319" s="107">
        <f>4650000/1000</f>
        <v>4650</v>
      </c>
      <c r="G1319" s="107">
        <v>0</v>
      </c>
      <c r="H1319" s="107">
        <f>4650000/1000</f>
        <v>4650</v>
      </c>
      <c r="I1319" s="107">
        <v>0</v>
      </c>
      <c r="J1319" s="107">
        <v>0</v>
      </c>
      <c r="K1319" s="16" t="s">
        <v>1833</v>
      </c>
      <c r="L1319" s="95"/>
    </row>
    <row r="1320" spans="1:12" s="81" customFormat="1" x14ac:dyDescent="0.3">
      <c r="A1320" s="319" t="s">
        <v>1628</v>
      </c>
      <c r="B1320" s="320"/>
      <c r="C1320" s="321"/>
      <c r="D1320" s="84"/>
      <c r="E1320" s="65"/>
      <c r="F1320" s="192">
        <f t="shared" ref="F1320" si="114">SUM(G1320:J1320)</f>
        <v>9174.7999999999993</v>
      </c>
      <c r="G1320" s="192">
        <f>SUM(G1317:G1319)</f>
        <v>2424.8000000000002</v>
      </c>
      <c r="H1320" s="192">
        <f>SUM(H1317:H1319)</f>
        <v>6750</v>
      </c>
      <c r="I1320" s="192">
        <f>SUM(I1317:I1319)</f>
        <v>0</v>
      </c>
      <c r="J1320" s="198">
        <f>SUM(J1317:J1319)</f>
        <v>0</v>
      </c>
      <c r="K1320" s="65"/>
      <c r="L1320" s="97"/>
    </row>
    <row r="1321" spans="1:12" s="68" customFormat="1" ht="26.4" x14ac:dyDescent="0.3">
      <c r="A1321" s="65">
        <v>1156</v>
      </c>
      <c r="B1321" s="66" t="s">
        <v>1960</v>
      </c>
      <c r="C1321" s="18" t="s">
        <v>1964</v>
      </c>
      <c r="D1321" s="16" t="s">
        <v>1691</v>
      </c>
      <c r="E1321" s="16" t="s">
        <v>19</v>
      </c>
      <c r="F1321" s="107">
        <f>4650000/1000</f>
        <v>4650</v>
      </c>
      <c r="G1321" s="107">
        <v>0</v>
      </c>
      <c r="H1321" s="107">
        <v>0</v>
      </c>
      <c r="I1321" s="107">
        <f>4650000/1000</f>
        <v>4650</v>
      </c>
      <c r="J1321" s="107">
        <v>0</v>
      </c>
      <c r="K1321" s="16" t="s">
        <v>1838</v>
      </c>
    </row>
    <row r="1322" spans="1:12" s="81" customFormat="1" x14ac:dyDescent="0.3">
      <c r="A1322" s="319" t="s">
        <v>1622</v>
      </c>
      <c r="B1322" s="320"/>
      <c r="C1322" s="321"/>
      <c r="D1322" s="84"/>
      <c r="E1322" s="65"/>
      <c r="F1322" s="192">
        <f>SUM(G1322:J1322)</f>
        <v>4650</v>
      </c>
      <c r="G1322" s="192">
        <f>SUM(G1321:G1321)</f>
        <v>0</v>
      </c>
      <c r="H1322" s="192">
        <f>SUM(H1321:H1321)</f>
        <v>0</v>
      </c>
      <c r="I1322" s="192">
        <f>SUM(I1321:I1321)</f>
        <v>4650</v>
      </c>
      <c r="J1322" s="198">
        <f>SUM(J1321:J1321)</f>
        <v>0</v>
      </c>
      <c r="K1322" s="65"/>
    </row>
    <row r="1323" spans="1:12" s="81" customFormat="1" ht="26.4" x14ac:dyDescent="0.3">
      <c r="A1323" s="85">
        <v>1157</v>
      </c>
      <c r="B1323" s="245" t="s">
        <v>1965</v>
      </c>
      <c r="C1323" s="18" t="s">
        <v>1966</v>
      </c>
      <c r="D1323" s="80" t="s">
        <v>1660</v>
      </c>
      <c r="E1323" s="16" t="s">
        <v>19</v>
      </c>
      <c r="F1323" s="107">
        <f>40592838/1000</f>
        <v>40592.838000000003</v>
      </c>
      <c r="G1323" s="107">
        <v>0</v>
      </c>
      <c r="H1323" s="107">
        <f>20296419/1000</f>
        <v>20296.419000000002</v>
      </c>
      <c r="I1323" s="107">
        <f>20296419/1000</f>
        <v>20296.419000000002</v>
      </c>
      <c r="J1323" s="107">
        <v>0</v>
      </c>
      <c r="K1323" s="16" t="s">
        <v>1967</v>
      </c>
    </row>
    <row r="1324" spans="1:12" s="81" customFormat="1" ht="26.4" x14ac:dyDescent="0.3">
      <c r="A1324" s="79">
        <v>1158</v>
      </c>
      <c r="B1324" s="315"/>
      <c r="C1324" s="18" t="s">
        <v>1968</v>
      </c>
      <c r="D1324" s="80" t="s">
        <v>137</v>
      </c>
      <c r="E1324" s="16" t="s">
        <v>19</v>
      </c>
      <c r="F1324" s="107">
        <f>9378945.45/1000</f>
        <v>9378.9454499999993</v>
      </c>
      <c r="G1324" s="107">
        <v>0</v>
      </c>
      <c r="H1324" s="107">
        <f>4360392.05/1000</f>
        <v>4360.3920499999995</v>
      </c>
      <c r="I1324" s="107">
        <f>5018553.4/1000</f>
        <v>5018.5534000000007</v>
      </c>
      <c r="J1324" s="107">
        <v>0</v>
      </c>
      <c r="K1324" s="16" t="s">
        <v>1836</v>
      </c>
    </row>
    <row r="1325" spans="1:12" s="81" customFormat="1" ht="26.4" x14ac:dyDescent="0.3">
      <c r="A1325" s="85">
        <v>1159</v>
      </c>
      <c r="B1325" s="246"/>
      <c r="C1325" s="18" t="s">
        <v>1969</v>
      </c>
      <c r="D1325" s="80" t="s">
        <v>1652</v>
      </c>
      <c r="E1325" s="16" t="s">
        <v>19</v>
      </c>
      <c r="F1325" s="107">
        <f>242573.97/1000</f>
        <v>242.57397</v>
      </c>
      <c r="G1325" s="107">
        <f>242573.97/1000</f>
        <v>242.57397</v>
      </c>
      <c r="H1325" s="107">
        <v>0</v>
      </c>
      <c r="I1325" s="107">
        <v>0</v>
      </c>
      <c r="J1325" s="107">
        <v>0</v>
      </c>
      <c r="K1325" s="16" t="s">
        <v>1635</v>
      </c>
    </row>
    <row r="1326" spans="1:12" s="81" customFormat="1" x14ac:dyDescent="0.3">
      <c r="A1326" s="319" t="s">
        <v>1628</v>
      </c>
      <c r="B1326" s="320"/>
      <c r="C1326" s="321"/>
      <c r="D1326" s="68"/>
      <c r="E1326" s="65"/>
      <c r="F1326" s="192">
        <f>SUM(G1326:J1326)</f>
        <v>50214.35742</v>
      </c>
      <c r="G1326" s="192">
        <f>SUM(G1323:G1325)</f>
        <v>242.57397</v>
      </c>
      <c r="H1326" s="192">
        <f>SUM(H1323:H1325)</f>
        <v>24656.81105</v>
      </c>
      <c r="I1326" s="192">
        <f>SUM(I1323:I1325)</f>
        <v>25314.972400000002</v>
      </c>
      <c r="J1326" s="198">
        <f>SUM(J1323)</f>
        <v>0</v>
      </c>
      <c r="K1326" s="65"/>
    </row>
    <row r="1327" spans="1:12" s="68" customFormat="1" ht="26.4" x14ac:dyDescent="0.3">
      <c r="A1327" s="87">
        <v>1160</v>
      </c>
      <c r="B1327" s="294" t="s">
        <v>1970</v>
      </c>
      <c r="C1327" s="86" t="s">
        <v>1971</v>
      </c>
      <c r="D1327" s="80" t="s">
        <v>1656</v>
      </c>
      <c r="E1327" s="16" t="s">
        <v>19</v>
      </c>
      <c r="F1327" s="107">
        <f>70000/1000</f>
        <v>70</v>
      </c>
      <c r="G1327" s="107">
        <f>70000/1000</f>
        <v>70</v>
      </c>
      <c r="H1327" s="107">
        <v>0</v>
      </c>
      <c r="I1327" s="107">
        <v>0</v>
      </c>
      <c r="J1327" s="107">
        <v>0</v>
      </c>
      <c r="K1327" s="16" t="s">
        <v>1635</v>
      </c>
    </row>
    <row r="1328" spans="1:12" s="68" customFormat="1" ht="26.4" x14ac:dyDescent="0.3">
      <c r="A1328" s="87">
        <v>1161</v>
      </c>
      <c r="B1328" s="305"/>
      <c r="C1328" s="86" t="s">
        <v>1972</v>
      </c>
      <c r="D1328" s="80" t="s">
        <v>1652</v>
      </c>
      <c r="E1328" s="16" t="s">
        <v>19</v>
      </c>
      <c r="F1328" s="107">
        <f>136000/1000</f>
        <v>136</v>
      </c>
      <c r="G1328" s="107">
        <f>136000/1000</f>
        <v>136</v>
      </c>
      <c r="H1328" s="107">
        <v>0</v>
      </c>
      <c r="I1328" s="107">
        <v>0</v>
      </c>
      <c r="J1328" s="107">
        <v>0</v>
      </c>
      <c r="K1328" s="16" t="s">
        <v>1635</v>
      </c>
    </row>
    <row r="1329" spans="1:11" s="68" customFormat="1" ht="26.4" x14ac:dyDescent="0.3">
      <c r="A1329" s="87">
        <v>1162</v>
      </c>
      <c r="B1329" s="305"/>
      <c r="C1329" s="86" t="s">
        <v>1973</v>
      </c>
      <c r="D1329" s="80" t="s">
        <v>1652</v>
      </c>
      <c r="E1329" s="16" t="s">
        <v>19</v>
      </c>
      <c r="F1329" s="107">
        <f>340000/1000</f>
        <v>340</v>
      </c>
      <c r="G1329" s="107">
        <f>340000/1000</f>
        <v>340</v>
      </c>
      <c r="H1329" s="107">
        <v>0</v>
      </c>
      <c r="I1329" s="107">
        <v>0</v>
      </c>
      <c r="J1329" s="107">
        <v>0</v>
      </c>
      <c r="K1329" s="16" t="s">
        <v>1635</v>
      </c>
    </row>
    <row r="1330" spans="1:11" s="68" customFormat="1" ht="26.4" x14ac:dyDescent="0.3">
      <c r="A1330" s="87">
        <v>1163</v>
      </c>
      <c r="B1330" s="295"/>
      <c r="C1330" s="86" t="s">
        <v>1974</v>
      </c>
      <c r="D1330" s="80" t="s">
        <v>1818</v>
      </c>
      <c r="E1330" s="16" t="s">
        <v>19</v>
      </c>
      <c r="F1330" s="107">
        <f>1772300/1000</f>
        <v>1772.3</v>
      </c>
      <c r="G1330" s="107">
        <f>1772300/1000</f>
        <v>1772.3</v>
      </c>
      <c r="H1330" s="107">
        <v>0</v>
      </c>
      <c r="I1330" s="107">
        <v>0</v>
      </c>
      <c r="J1330" s="107">
        <v>0</v>
      </c>
      <c r="K1330" s="16" t="s">
        <v>1635</v>
      </c>
    </row>
    <row r="1331" spans="1:11" s="81" customFormat="1" x14ac:dyDescent="0.3">
      <c r="A1331" s="302" t="s">
        <v>1628</v>
      </c>
      <c r="B1331" s="303"/>
      <c r="C1331" s="304"/>
      <c r="D1331" s="90"/>
      <c r="E1331" s="65"/>
      <c r="F1331" s="192">
        <f>SUM(G1331:J1331)</f>
        <v>2318.3000000000002</v>
      </c>
      <c r="G1331" s="192">
        <f>SUM(G1327:G1330)</f>
        <v>2318.3000000000002</v>
      </c>
      <c r="H1331" s="192">
        <f>SUM(H1327:H1330)</f>
        <v>0</v>
      </c>
      <c r="I1331" s="192">
        <f>SUM(I1327:I1330)</f>
        <v>0</v>
      </c>
      <c r="J1331" s="198">
        <f>SUM(J1327:J1330)</f>
        <v>0</v>
      </c>
      <c r="K1331" s="65"/>
    </row>
    <row r="1332" spans="1:11" s="68" customFormat="1" ht="26.4" x14ac:dyDescent="0.3">
      <c r="A1332" s="87">
        <v>1164</v>
      </c>
      <c r="B1332" s="91" t="s">
        <v>1970</v>
      </c>
      <c r="C1332" s="86" t="s">
        <v>1975</v>
      </c>
      <c r="D1332" s="80" t="s">
        <v>1976</v>
      </c>
      <c r="E1332" s="16" t="s">
        <v>19</v>
      </c>
      <c r="F1332" s="107">
        <f>5226835.68/1000</f>
        <v>5226.8356800000001</v>
      </c>
      <c r="G1332" s="107">
        <v>0</v>
      </c>
      <c r="H1332" s="107">
        <f>5226835.68/1000</f>
        <v>5226.8356800000001</v>
      </c>
      <c r="I1332" s="107">
        <v>0</v>
      </c>
      <c r="J1332" s="107">
        <v>0</v>
      </c>
      <c r="K1332" s="16" t="s">
        <v>1680</v>
      </c>
    </row>
    <row r="1333" spans="1:11" s="81" customFormat="1" x14ac:dyDescent="0.3">
      <c r="A1333" s="302" t="s">
        <v>1622</v>
      </c>
      <c r="B1333" s="303"/>
      <c r="C1333" s="304"/>
      <c r="D1333" s="90"/>
      <c r="E1333" s="65"/>
      <c r="F1333" s="192">
        <f>SUM(G1333:J1333)</f>
        <v>5226.8356800000001</v>
      </c>
      <c r="G1333" s="192">
        <f>SUM(G1332:G1332)</f>
        <v>0</v>
      </c>
      <c r="H1333" s="192">
        <f>SUM(H1332:H1332)</f>
        <v>5226.8356800000001</v>
      </c>
      <c r="I1333" s="192">
        <f>SUM(I1332:I1332)</f>
        <v>0</v>
      </c>
      <c r="J1333" s="198">
        <f>SUM(J1332:J1332)</f>
        <v>0</v>
      </c>
      <c r="K1333" s="65"/>
    </row>
    <row r="1334" spans="1:11" s="68" customFormat="1" ht="26.4" x14ac:dyDescent="0.3">
      <c r="A1334" s="87">
        <v>1165</v>
      </c>
      <c r="B1334" s="91" t="s">
        <v>1970</v>
      </c>
      <c r="C1334" s="86" t="s">
        <v>1977</v>
      </c>
      <c r="D1334" s="80" t="s">
        <v>1976</v>
      </c>
      <c r="E1334" s="16" t="s">
        <v>19</v>
      </c>
      <c r="F1334" s="107">
        <f>5226835.68/1000</f>
        <v>5226.8356800000001</v>
      </c>
      <c r="G1334" s="107">
        <v>0</v>
      </c>
      <c r="H1334" s="107">
        <v>0</v>
      </c>
      <c r="I1334" s="107">
        <f>5226835.68/1000</f>
        <v>5226.8356800000001</v>
      </c>
      <c r="J1334" s="107">
        <v>0</v>
      </c>
      <c r="K1334" s="16" t="s">
        <v>1649</v>
      </c>
    </row>
    <row r="1335" spans="1:11" s="81" customFormat="1" x14ac:dyDescent="0.3">
      <c r="A1335" s="302" t="s">
        <v>1675</v>
      </c>
      <c r="B1335" s="303"/>
      <c r="C1335" s="304"/>
      <c r="D1335" s="90"/>
      <c r="E1335" s="65"/>
      <c r="F1335" s="192">
        <f>SUM(G1335:J1335)</f>
        <v>5226.8356800000001</v>
      </c>
      <c r="G1335" s="192">
        <f>SUM(G1334:G1334)</f>
        <v>0</v>
      </c>
      <c r="H1335" s="192">
        <f>SUM(H1334:H1334)</f>
        <v>0</v>
      </c>
      <c r="I1335" s="192">
        <f>SUM(I1334:I1334)</f>
        <v>5226.8356800000001</v>
      </c>
      <c r="J1335" s="198">
        <f>SUM(J1334:J1334)</f>
        <v>0</v>
      </c>
      <c r="K1335" s="65"/>
    </row>
    <row r="1336" spans="1:11" s="81" customFormat="1" ht="26.4" x14ac:dyDescent="0.3">
      <c r="A1336" s="87">
        <v>1166</v>
      </c>
      <c r="B1336" s="294" t="s">
        <v>1978</v>
      </c>
      <c r="C1336" s="86" t="s">
        <v>1979</v>
      </c>
      <c r="D1336" s="80" t="s">
        <v>1691</v>
      </c>
      <c r="E1336" s="16" t="s">
        <v>19</v>
      </c>
      <c r="F1336" s="107">
        <f>14865578/1000</f>
        <v>14865.578</v>
      </c>
      <c r="G1336" s="107">
        <v>0</v>
      </c>
      <c r="H1336" s="107">
        <f>14865578/1000</f>
        <v>14865.578</v>
      </c>
      <c r="I1336" s="107">
        <v>0</v>
      </c>
      <c r="J1336" s="107">
        <v>0</v>
      </c>
      <c r="K1336" s="16" t="s">
        <v>1661</v>
      </c>
    </row>
    <row r="1337" spans="1:11" s="81" customFormat="1" ht="39.6" x14ac:dyDescent="0.3">
      <c r="A1337" s="87">
        <v>1167</v>
      </c>
      <c r="B1337" s="305"/>
      <c r="C1337" s="86" t="s">
        <v>1980</v>
      </c>
      <c r="D1337" s="80" t="s">
        <v>313</v>
      </c>
      <c r="E1337" s="16" t="s">
        <v>19</v>
      </c>
      <c r="F1337" s="107">
        <f>661740.75/1000</f>
        <v>661.74075000000005</v>
      </c>
      <c r="G1337" s="107">
        <f>199992.76/1000</f>
        <v>199.99276</v>
      </c>
      <c r="H1337" s="107">
        <f>461747.99/1000</f>
        <v>461.74799000000002</v>
      </c>
      <c r="I1337" s="107">
        <v>0</v>
      </c>
      <c r="J1337" s="107">
        <v>0</v>
      </c>
      <c r="K1337" s="16" t="s">
        <v>1635</v>
      </c>
    </row>
    <row r="1338" spans="1:11" s="81" customFormat="1" ht="26.4" x14ac:dyDescent="0.3">
      <c r="A1338" s="87">
        <v>1168</v>
      </c>
      <c r="B1338" s="305"/>
      <c r="C1338" s="86" t="s">
        <v>1981</v>
      </c>
      <c r="D1338" s="80" t="s">
        <v>137</v>
      </c>
      <c r="E1338" s="16" t="s">
        <v>19</v>
      </c>
      <c r="F1338" s="107">
        <f>3529594.2/1000</f>
        <v>3529.5942</v>
      </c>
      <c r="G1338" s="107">
        <v>0</v>
      </c>
      <c r="H1338" s="107">
        <f>2357625.6/1000</f>
        <v>2357.6256000000003</v>
      </c>
      <c r="I1338" s="107">
        <f>1171968.6/1000</f>
        <v>1171.9686000000002</v>
      </c>
      <c r="J1338" s="107">
        <v>0</v>
      </c>
      <c r="K1338" s="16" t="s">
        <v>1661</v>
      </c>
    </row>
    <row r="1339" spans="1:11" s="81" customFormat="1" ht="26.4" x14ac:dyDescent="0.3">
      <c r="A1339" s="65">
        <v>1169</v>
      </c>
      <c r="B1339" s="295"/>
      <c r="C1339" s="18" t="s">
        <v>1982</v>
      </c>
      <c r="D1339" s="16" t="s">
        <v>1867</v>
      </c>
      <c r="E1339" s="16" t="s">
        <v>19</v>
      </c>
      <c r="F1339" s="107">
        <f>130727/1000</f>
        <v>130.727</v>
      </c>
      <c r="G1339" s="107">
        <v>0</v>
      </c>
      <c r="H1339" s="107">
        <f>65363.5/1000</f>
        <v>65.363500000000002</v>
      </c>
      <c r="I1339" s="107">
        <f>65363.5/1000</f>
        <v>65.363500000000002</v>
      </c>
      <c r="J1339" s="107">
        <v>0</v>
      </c>
      <c r="K1339" s="16" t="s">
        <v>1661</v>
      </c>
    </row>
    <row r="1340" spans="1:11" s="81" customFormat="1" x14ac:dyDescent="0.3">
      <c r="A1340" s="319" t="s">
        <v>1628</v>
      </c>
      <c r="B1340" s="320"/>
      <c r="C1340" s="321"/>
      <c r="D1340" s="68"/>
      <c r="E1340" s="65"/>
      <c r="F1340" s="192">
        <f>SUM(G1340:J1340)</f>
        <v>19187.639950000001</v>
      </c>
      <c r="G1340" s="192">
        <f>SUM(G1336:G1339)</f>
        <v>199.99276</v>
      </c>
      <c r="H1340" s="192">
        <f>SUM(H1336:H1339)</f>
        <v>17750.31509</v>
      </c>
      <c r="I1340" s="192">
        <f>SUM(I1336:I1339)</f>
        <v>1237.3321000000001</v>
      </c>
      <c r="J1340" s="192">
        <f>SUM(J1339:J1339)</f>
        <v>0</v>
      </c>
      <c r="K1340" s="65"/>
    </row>
    <row r="1341" spans="1:11" s="81" customFormat="1" ht="26.4" x14ac:dyDescent="0.3">
      <c r="A1341" s="65">
        <v>1170</v>
      </c>
      <c r="B1341" s="66" t="s">
        <v>1978</v>
      </c>
      <c r="C1341" s="18" t="s">
        <v>1983</v>
      </c>
      <c r="D1341" s="16" t="s">
        <v>1691</v>
      </c>
      <c r="E1341" s="16" t="s">
        <v>19</v>
      </c>
      <c r="F1341" s="107">
        <f>14865578/1000</f>
        <v>14865.578</v>
      </c>
      <c r="G1341" s="107">
        <v>0</v>
      </c>
      <c r="H1341" s="107">
        <v>0</v>
      </c>
      <c r="I1341" s="107">
        <f>14865578/1000</f>
        <v>14865.578</v>
      </c>
      <c r="J1341" s="107">
        <v>0</v>
      </c>
      <c r="K1341" s="16" t="s">
        <v>1725</v>
      </c>
    </row>
    <row r="1342" spans="1:11" s="81" customFormat="1" x14ac:dyDescent="0.3">
      <c r="A1342" s="316" t="s">
        <v>1675</v>
      </c>
      <c r="B1342" s="317"/>
      <c r="C1342" s="318"/>
      <c r="D1342" s="84"/>
      <c r="E1342" s="65"/>
      <c r="F1342" s="192">
        <f>SUM(G1342:J1342)</f>
        <v>14865.578</v>
      </c>
      <c r="G1342" s="192">
        <f>SUM(G1341:G1341)</f>
        <v>0</v>
      </c>
      <c r="H1342" s="192">
        <f>SUM(H1341:H1341)</f>
        <v>0</v>
      </c>
      <c r="I1342" s="192">
        <f>SUM(I1341:I1341)</f>
        <v>14865.578</v>
      </c>
      <c r="J1342" s="192">
        <f>SUM(J1341:J1341)</f>
        <v>0</v>
      </c>
      <c r="K1342" s="65"/>
    </row>
    <row r="1343" spans="1:11" s="81" customFormat="1" ht="52.8" x14ac:dyDescent="0.3">
      <c r="A1343" s="65">
        <v>1171</v>
      </c>
      <c r="B1343" s="245" t="s">
        <v>1984</v>
      </c>
      <c r="C1343" s="18" t="s">
        <v>1985</v>
      </c>
      <c r="D1343" s="80" t="s">
        <v>1986</v>
      </c>
      <c r="E1343" s="16" t="s">
        <v>19</v>
      </c>
      <c r="F1343" s="107">
        <f>2900000/1000</f>
        <v>2900</v>
      </c>
      <c r="G1343" s="107">
        <f>2900000/1000</f>
        <v>2900</v>
      </c>
      <c r="H1343" s="107">
        <v>0</v>
      </c>
      <c r="I1343" s="107">
        <v>0</v>
      </c>
      <c r="J1343" s="107">
        <v>0</v>
      </c>
      <c r="K1343" s="16" t="s">
        <v>1632</v>
      </c>
    </row>
    <row r="1344" spans="1:11" s="81" customFormat="1" ht="26.4" x14ac:dyDescent="0.3">
      <c r="A1344" s="65">
        <v>1172</v>
      </c>
      <c r="B1344" s="315"/>
      <c r="C1344" s="18" t="s">
        <v>1987</v>
      </c>
      <c r="D1344" s="80" t="s">
        <v>1988</v>
      </c>
      <c r="E1344" s="16" t="s">
        <v>19</v>
      </c>
      <c r="F1344" s="107">
        <f>863514/1000</f>
        <v>863.51400000000001</v>
      </c>
      <c r="G1344" s="107">
        <v>0</v>
      </c>
      <c r="H1344" s="107">
        <f>863514/1000</f>
        <v>863.51400000000001</v>
      </c>
      <c r="I1344" s="107">
        <v>0</v>
      </c>
      <c r="J1344" s="107">
        <v>0</v>
      </c>
      <c r="K1344" s="16" t="s">
        <v>1836</v>
      </c>
    </row>
    <row r="1345" spans="1:11" s="81" customFormat="1" ht="26.4" x14ac:dyDescent="0.3">
      <c r="A1345" s="65">
        <v>1173</v>
      </c>
      <c r="B1345" s="315"/>
      <c r="C1345" s="18" t="s">
        <v>1989</v>
      </c>
      <c r="D1345" s="80" t="s">
        <v>137</v>
      </c>
      <c r="E1345" s="16" t="s">
        <v>19</v>
      </c>
      <c r="F1345" s="107">
        <f>10803308.4/1000</f>
        <v>10803.3084</v>
      </c>
      <c r="G1345" s="107">
        <v>0</v>
      </c>
      <c r="H1345" s="107">
        <f>5401654.2/1000</f>
        <v>5401.6541999999999</v>
      </c>
      <c r="I1345" s="107">
        <f>5401654.2/1000</f>
        <v>5401.6541999999999</v>
      </c>
      <c r="J1345" s="107">
        <v>0</v>
      </c>
      <c r="K1345" s="16" t="s">
        <v>1836</v>
      </c>
    </row>
    <row r="1346" spans="1:11" s="81" customFormat="1" ht="26.4" x14ac:dyDescent="0.3">
      <c r="A1346" s="65">
        <v>1174</v>
      </c>
      <c r="B1346" s="315"/>
      <c r="C1346" s="18" t="s">
        <v>1990</v>
      </c>
      <c r="D1346" s="80" t="s">
        <v>1691</v>
      </c>
      <c r="E1346" s="16" t="s">
        <v>19</v>
      </c>
      <c r="F1346" s="107">
        <f>3653065.99/1000</f>
        <v>3653.0659900000001</v>
      </c>
      <c r="G1346" s="107">
        <v>0</v>
      </c>
      <c r="H1346" s="107">
        <f>3653065.99/1000</f>
        <v>3653.0659900000001</v>
      </c>
      <c r="I1346" s="107">
        <v>0</v>
      </c>
      <c r="J1346" s="107">
        <v>0</v>
      </c>
      <c r="K1346" s="16" t="s">
        <v>1833</v>
      </c>
    </row>
    <row r="1347" spans="1:11" s="81" customFormat="1" ht="26.4" x14ac:dyDescent="0.3">
      <c r="A1347" s="65">
        <v>1175</v>
      </c>
      <c r="B1347" s="246"/>
      <c r="C1347" s="18" t="s">
        <v>1991</v>
      </c>
      <c r="D1347" s="80" t="s">
        <v>1691</v>
      </c>
      <c r="E1347" s="16" t="s">
        <v>19</v>
      </c>
      <c r="F1347" s="107">
        <f>10946179/1000</f>
        <v>10946.179</v>
      </c>
      <c r="G1347" s="107">
        <v>0</v>
      </c>
      <c r="H1347" s="107">
        <f>10946179/1000</f>
        <v>10946.179</v>
      </c>
      <c r="I1347" s="107">
        <v>0</v>
      </c>
      <c r="J1347" s="107">
        <v>0</v>
      </c>
      <c r="K1347" s="16" t="s">
        <v>1833</v>
      </c>
    </row>
    <row r="1348" spans="1:11" s="81" customFormat="1" x14ac:dyDescent="0.3">
      <c r="A1348" s="316" t="s">
        <v>1628</v>
      </c>
      <c r="B1348" s="317"/>
      <c r="C1348" s="318"/>
      <c r="D1348" s="89"/>
      <c r="E1348" s="65"/>
      <c r="F1348" s="192">
        <f>SUM(G1348:J1348)</f>
        <v>29166.06739</v>
      </c>
      <c r="G1348" s="192">
        <f>SUM(G1343:G1347)</f>
        <v>2900</v>
      </c>
      <c r="H1348" s="192">
        <f>SUM(H1343:H1347)</f>
        <v>20864.413189999999</v>
      </c>
      <c r="I1348" s="192">
        <f>SUM(I1343:I1347)</f>
        <v>5401.6541999999999</v>
      </c>
      <c r="J1348" s="192">
        <f>SUM(J1343:J1345)</f>
        <v>0</v>
      </c>
      <c r="K1348" s="65"/>
    </row>
    <row r="1349" spans="1:11" s="81" customFormat="1" ht="26.4" x14ac:dyDescent="0.3">
      <c r="A1349" s="65">
        <v>1176</v>
      </c>
      <c r="B1349" s="245" t="s">
        <v>1984</v>
      </c>
      <c r="C1349" s="18" t="s">
        <v>1992</v>
      </c>
      <c r="D1349" s="80" t="s">
        <v>1993</v>
      </c>
      <c r="E1349" s="16" t="s">
        <v>19</v>
      </c>
      <c r="F1349" s="107">
        <f>3350945/1000</f>
        <v>3350.9450000000002</v>
      </c>
      <c r="G1349" s="107">
        <v>0</v>
      </c>
      <c r="H1349" s="107">
        <f>3350945/1000</f>
        <v>3350.9450000000002</v>
      </c>
      <c r="I1349" s="107">
        <v>0</v>
      </c>
      <c r="J1349" s="107">
        <v>0</v>
      </c>
      <c r="K1349" s="16" t="s">
        <v>1701</v>
      </c>
    </row>
    <row r="1350" spans="1:11" s="81" customFormat="1" ht="26.4" x14ac:dyDescent="0.3">
      <c r="A1350" s="65">
        <v>1177</v>
      </c>
      <c r="B1350" s="315"/>
      <c r="C1350" s="18" t="s">
        <v>1994</v>
      </c>
      <c r="D1350" s="80" t="s">
        <v>1988</v>
      </c>
      <c r="E1350" s="16" t="s">
        <v>19</v>
      </c>
      <c r="F1350" s="107">
        <f>863514/1000</f>
        <v>863.51400000000001</v>
      </c>
      <c r="G1350" s="107">
        <v>0</v>
      </c>
      <c r="H1350" s="107">
        <v>0</v>
      </c>
      <c r="I1350" s="107">
        <f>863514/1000</f>
        <v>863.51400000000001</v>
      </c>
      <c r="J1350" s="107">
        <v>0</v>
      </c>
      <c r="K1350" s="16" t="s">
        <v>1995</v>
      </c>
    </row>
    <row r="1351" spans="1:11" s="81" customFormat="1" ht="26.4" x14ac:dyDescent="0.3">
      <c r="A1351" s="65">
        <v>1178</v>
      </c>
      <c r="B1351" s="246"/>
      <c r="C1351" s="18" t="s">
        <v>1996</v>
      </c>
      <c r="D1351" s="80" t="s">
        <v>1691</v>
      </c>
      <c r="E1351" s="16" t="s">
        <v>19</v>
      </c>
      <c r="F1351" s="107">
        <f>10946179/1000</f>
        <v>10946.179</v>
      </c>
      <c r="G1351" s="107">
        <v>0</v>
      </c>
      <c r="H1351" s="107">
        <v>0</v>
      </c>
      <c r="I1351" s="107">
        <f>10946179/1000</f>
        <v>10946.179</v>
      </c>
      <c r="J1351" s="107">
        <v>0</v>
      </c>
      <c r="K1351" s="16" t="s">
        <v>1838</v>
      </c>
    </row>
    <row r="1352" spans="1:11" s="81" customFormat="1" x14ac:dyDescent="0.3">
      <c r="A1352" s="316" t="s">
        <v>1622</v>
      </c>
      <c r="B1352" s="317"/>
      <c r="C1352" s="318"/>
      <c r="D1352" s="80"/>
      <c r="E1352" s="65"/>
      <c r="F1352" s="192">
        <f>SUM(G1352:J1352)</f>
        <v>15160.637999999999</v>
      </c>
      <c r="G1352" s="192">
        <f>SUM(G1349:G1351)</f>
        <v>0</v>
      </c>
      <c r="H1352" s="192">
        <f>SUM(H1349:H1351)</f>
        <v>3350.9450000000002</v>
      </c>
      <c r="I1352" s="192">
        <f>SUM(I1349:I1351)</f>
        <v>11809.692999999999</v>
      </c>
      <c r="J1352" s="192">
        <f>SUM(J1349:J1350)</f>
        <v>0</v>
      </c>
      <c r="K1352" s="65"/>
    </row>
    <row r="1353" spans="1:11" s="81" customFormat="1" ht="26.4" x14ac:dyDescent="0.3">
      <c r="A1353" s="65">
        <v>1179</v>
      </c>
      <c r="B1353" s="66" t="s">
        <v>1984</v>
      </c>
      <c r="C1353" s="18" t="s">
        <v>1997</v>
      </c>
      <c r="D1353" s="80" t="s">
        <v>1993</v>
      </c>
      <c r="E1353" s="16" t="s">
        <v>19</v>
      </c>
      <c r="F1353" s="107">
        <f>3350945/1000</f>
        <v>3350.9450000000002</v>
      </c>
      <c r="G1353" s="107">
        <v>0</v>
      </c>
      <c r="H1353" s="107">
        <v>0</v>
      </c>
      <c r="I1353" s="107">
        <f>3350945/1000</f>
        <v>3350.9450000000002</v>
      </c>
      <c r="J1353" s="107">
        <v>0</v>
      </c>
      <c r="K1353" s="16" t="s">
        <v>1703</v>
      </c>
    </row>
    <row r="1354" spans="1:11" s="81" customFormat="1" x14ac:dyDescent="0.3">
      <c r="A1354" s="316" t="s">
        <v>1675</v>
      </c>
      <c r="B1354" s="317"/>
      <c r="C1354" s="318"/>
      <c r="D1354" s="84"/>
      <c r="E1354" s="65"/>
      <c r="F1354" s="192">
        <f>SUM(G1354:J1354)</f>
        <v>3350.9450000000002</v>
      </c>
      <c r="G1354" s="192">
        <f>SUM(G1353:G1353)</f>
        <v>0</v>
      </c>
      <c r="H1354" s="192">
        <f>SUM(H1353:H1353)</f>
        <v>0</v>
      </c>
      <c r="I1354" s="192">
        <f>SUM(I1353:I1353)</f>
        <v>3350.9450000000002</v>
      </c>
      <c r="J1354" s="192">
        <f>SUM(J1353:J1353)</f>
        <v>0</v>
      </c>
      <c r="K1354" s="65"/>
    </row>
    <row r="1355" spans="1:11" s="81" customFormat="1" ht="26.4" x14ac:dyDescent="0.3">
      <c r="A1355" s="87">
        <v>1180</v>
      </c>
      <c r="B1355" s="245" t="s">
        <v>1998</v>
      </c>
      <c r="C1355" s="18" t="s">
        <v>1999</v>
      </c>
      <c r="D1355" s="80" t="s">
        <v>1691</v>
      </c>
      <c r="E1355" s="16" t="s">
        <v>19</v>
      </c>
      <c r="F1355" s="107">
        <f>16020783/1000</f>
        <v>16020.782999999999</v>
      </c>
      <c r="G1355" s="107">
        <v>0</v>
      </c>
      <c r="H1355" s="107">
        <f>16020783/1000</f>
        <v>16020.782999999999</v>
      </c>
      <c r="I1355" s="107">
        <v>0</v>
      </c>
      <c r="J1355" s="107">
        <v>0</v>
      </c>
      <c r="K1355" s="16" t="s">
        <v>1661</v>
      </c>
    </row>
    <row r="1356" spans="1:11" s="81" customFormat="1" ht="26.4" x14ac:dyDescent="0.3">
      <c r="A1356" s="65">
        <v>1181</v>
      </c>
      <c r="B1356" s="246"/>
      <c r="C1356" s="18" t="s">
        <v>2000</v>
      </c>
      <c r="D1356" s="80" t="s">
        <v>1691</v>
      </c>
      <c r="E1356" s="16" t="s">
        <v>19</v>
      </c>
      <c r="F1356" s="107">
        <f>18020783/1000</f>
        <v>18020.782999999999</v>
      </c>
      <c r="G1356" s="107">
        <v>0</v>
      </c>
      <c r="H1356" s="107">
        <v>0</v>
      </c>
      <c r="I1356" s="107">
        <f>18020783/1000</f>
        <v>18020.782999999999</v>
      </c>
      <c r="J1356" s="107">
        <v>0</v>
      </c>
      <c r="K1356" s="16" t="s">
        <v>1661</v>
      </c>
    </row>
    <row r="1357" spans="1:11" s="81" customFormat="1" x14ac:dyDescent="0.3">
      <c r="A1357" s="316" t="s">
        <v>1628</v>
      </c>
      <c r="B1357" s="317"/>
      <c r="C1357" s="318"/>
      <c r="D1357" s="68"/>
      <c r="E1357" s="65"/>
      <c r="F1357" s="192">
        <f>SUM(G1357:J1357)</f>
        <v>34041.565999999999</v>
      </c>
      <c r="G1357" s="192">
        <f>SUM(G1355:G1356)</f>
        <v>0</v>
      </c>
      <c r="H1357" s="192">
        <f>SUM(H1355:H1356)</f>
        <v>16020.782999999999</v>
      </c>
      <c r="I1357" s="192">
        <f>SUM(I1355:I1356)</f>
        <v>18020.782999999999</v>
      </c>
      <c r="J1357" s="192">
        <f>SUM(J1355:J1356)</f>
        <v>0</v>
      </c>
      <c r="K1357" s="65"/>
    </row>
    <row r="1358" spans="1:11" s="81" customFormat="1" ht="26.4" x14ac:dyDescent="0.3">
      <c r="A1358" s="87">
        <v>1182</v>
      </c>
      <c r="B1358" s="245" t="s">
        <v>2001</v>
      </c>
      <c r="C1358" s="18" t="s">
        <v>2002</v>
      </c>
      <c r="D1358" s="16" t="s">
        <v>1652</v>
      </c>
      <c r="E1358" s="16" t="s">
        <v>19</v>
      </c>
      <c r="F1358" s="107">
        <f>1561600/1000</f>
        <v>1561.6</v>
      </c>
      <c r="G1358" s="107">
        <f>1561600/1000</f>
        <v>1561.6</v>
      </c>
      <c r="H1358" s="107">
        <v>0</v>
      </c>
      <c r="I1358" s="107">
        <v>0</v>
      </c>
      <c r="J1358" s="107">
        <v>0</v>
      </c>
      <c r="K1358" s="16" t="s">
        <v>1632</v>
      </c>
    </row>
    <row r="1359" spans="1:11" s="81" customFormat="1" ht="26.4" x14ac:dyDescent="0.3">
      <c r="A1359" s="65">
        <v>1183</v>
      </c>
      <c r="B1359" s="315"/>
      <c r="C1359" s="18" t="s">
        <v>2003</v>
      </c>
      <c r="D1359" s="16" t="s">
        <v>1738</v>
      </c>
      <c r="E1359" s="16" t="s">
        <v>19</v>
      </c>
      <c r="F1359" s="107">
        <f>6278742.95/1000</f>
        <v>6278.7429499999998</v>
      </c>
      <c r="G1359" s="107">
        <f>6278742.95/1000</f>
        <v>6278.7429499999998</v>
      </c>
      <c r="H1359" s="107">
        <v>0</v>
      </c>
      <c r="I1359" s="107">
        <v>0</v>
      </c>
      <c r="J1359" s="107">
        <v>0</v>
      </c>
      <c r="K1359" s="16" t="s">
        <v>1632</v>
      </c>
    </row>
    <row r="1360" spans="1:11" s="81" customFormat="1" ht="26.4" x14ac:dyDescent="0.3">
      <c r="A1360" s="65">
        <v>1184</v>
      </c>
      <c r="B1360" s="246"/>
      <c r="C1360" s="18" t="s">
        <v>2004</v>
      </c>
      <c r="D1360" s="16" t="s">
        <v>2005</v>
      </c>
      <c r="E1360" s="16" t="s">
        <v>19</v>
      </c>
      <c r="F1360" s="107">
        <f>4130987.89/1000</f>
        <v>4130.9878900000003</v>
      </c>
      <c r="G1360" s="107">
        <f>4130987.89/1000</f>
        <v>4130.9878900000003</v>
      </c>
      <c r="H1360" s="107">
        <v>0</v>
      </c>
      <c r="I1360" s="107">
        <v>0</v>
      </c>
      <c r="J1360" s="107">
        <v>0</v>
      </c>
      <c r="K1360" s="16" t="s">
        <v>1632</v>
      </c>
    </row>
    <row r="1361" spans="1:11" s="81" customFormat="1" x14ac:dyDescent="0.3">
      <c r="A1361" s="316" t="s">
        <v>1628</v>
      </c>
      <c r="B1361" s="317"/>
      <c r="C1361" s="318"/>
      <c r="D1361" s="68"/>
      <c r="E1361" s="65"/>
      <c r="F1361" s="192">
        <f>SUM(G1361:J1361)</f>
        <v>11971.330840000001</v>
      </c>
      <c r="G1361" s="192">
        <f>SUM(G1358:G1360)</f>
        <v>11971.330840000001</v>
      </c>
      <c r="H1361" s="192">
        <f>SUM(H1358:H1360)</f>
        <v>0</v>
      </c>
      <c r="I1361" s="192">
        <f>SUM(I1358:I1360)</f>
        <v>0</v>
      </c>
      <c r="J1361" s="192">
        <f>SUM(J1358:J1360)</f>
        <v>0</v>
      </c>
      <c r="K1361" s="65"/>
    </row>
    <row r="1362" spans="1:11" s="81" customFormat="1" ht="26.4" x14ac:dyDescent="0.3">
      <c r="A1362" s="65">
        <v>1185</v>
      </c>
      <c r="B1362" s="245" t="s">
        <v>2001</v>
      </c>
      <c r="C1362" s="18" t="s">
        <v>2006</v>
      </c>
      <c r="D1362" s="16" t="s">
        <v>1652</v>
      </c>
      <c r="E1362" s="16" t="s">
        <v>19</v>
      </c>
      <c r="F1362" s="107">
        <f>1561600/1000</f>
        <v>1561.6</v>
      </c>
      <c r="G1362" s="107">
        <v>0</v>
      </c>
      <c r="H1362" s="107">
        <f>1561600/1000</f>
        <v>1561.6</v>
      </c>
      <c r="I1362" s="107">
        <v>0</v>
      </c>
      <c r="J1362" s="107">
        <v>0</v>
      </c>
      <c r="K1362" s="16" t="s">
        <v>1680</v>
      </c>
    </row>
    <row r="1363" spans="1:11" s="81" customFormat="1" ht="26.4" x14ac:dyDescent="0.3">
      <c r="A1363" s="65">
        <v>1186</v>
      </c>
      <c r="B1363" s="315"/>
      <c r="C1363" s="18" t="s">
        <v>2007</v>
      </c>
      <c r="D1363" s="16" t="s">
        <v>1738</v>
      </c>
      <c r="E1363" s="16" t="s">
        <v>19</v>
      </c>
      <c r="F1363" s="107">
        <f>6480742.95/1000</f>
        <v>6480.7429499999998</v>
      </c>
      <c r="G1363" s="107">
        <v>0</v>
      </c>
      <c r="H1363" s="107">
        <f>6480742.95/1000</f>
        <v>6480.7429499999998</v>
      </c>
      <c r="I1363" s="107">
        <v>0</v>
      </c>
      <c r="J1363" s="107">
        <v>0</v>
      </c>
      <c r="K1363" s="16" t="s">
        <v>1680</v>
      </c>
    </row>
    <row r="1364" spans="1:11" s="81" customFormat="1" ht="26.4" x14ac:dyDescent="0.3">
      <c r="A1364" s="65">
        <f t="shared" ref="A1364:A1365" si="115">A1363+1</f>
        <v>1187</v>
      </c>
      <c r="B1364" s="315"/>
      <c r="C1364" s="18" t="s">
        <v>2008</v>
      </c>
      <c r="D1364" s="16" t="s">
        <v>2005</v>
      </c>
      <c r="E1364" s="16" t="s">
        <v>19</v>
      </c>
      <c r="F1364" s="107">
        <f>4176527.04/1000</f>
        <v>4176.5270399999999</v>
      </c>
      <c r="G1364" s="107">
        <v>0</v>
      </c>
      <c r="H1364" s="107">
        <f>4176527.04/1000</f>
        <v>4176.5270399999999</v>
      </c>
      <c r="I1364" s="107">
        <v>0</v>
      </c>
      <c r="J1364" s="107">
        <v>0</v>
      </c>
      <c r="K1364" s="16" t="s">
        <v>1680</v>
      </c>
    </row>
    <row r="1365" spans="1:11" s="81" customFormat="1" ht="26.4" x14ac:dyDescent="0.3">
      <c r="A1365" s="69">
        <f t="shared" si="115"/>
        <v>1188</v>
      </c>
      <c r="B1365" s="246"/>
      <c r="C1365" s="18" t="s">
        <v>2009</v>
      </c>
      <c r="D1365" s="16" t="s">
        <v>1691</v>
      </c>
      <c r="E1365" s="16" t="s">
        <v>19</v>
      </c>
      <c r="F1365" s="107">
        <f>14000000/1000</f>
        <v>14000</v>
      </c>
      <c r="G1365" s="107">
        <v>0</v>
      </c>
      <c r="H1365" s="107">
        <f>14000000/1000</f>
        <v>14000</v>
      </c>
      <c r="I1365" s="107">
        <v>0</v>
      </c>
      <c r="J1365" s="107">
        <v>0</v>
      </c>
      <c r="K1365" s="16" t="s">
        <v>1672</v>
      </c>
    </row>
    <row r="1366" spans="1:11" s="81" customFormat="1" x14ac:dyDescent="0.3">
      <c r="A1366" s="316" t="s">
        <v>1622</v>
      </c>
      <c r="B1366" s="317"/>
      <c r="C1366" s="318"/>
      <c r="D1366" s="16"/>
      <c r="E1366" s="65"/>
      <c r="F1366" s="192">
        <f>SUM(G1366:J1366)</f>
        <v>26218.869989999999</v>
      </c>
      <c r="G1366" s="192">
        <f>SUM(G1362:G1365)</f>
        <v>0</v>
      </c>
      <c r="H1366" s="192">
        <f>SUM(H1362:H1365)</f>
        <v>26218.869989999999</v>
      </c>
      <c r="I1366" s="192">
        <f>SUM(I1362:I1365)</f>
        <v>0</v>
      </c>
      <c r="J1366" s="192">
        <f>SUM(J1362:J1365)</f>
        <v>0</v>
      </c>
      <c r="K1366" s="65"/>
    </row>
    <row r="1367" spans="1:11" s="81" customFormat="1" ht="26.4" x14ac:dyDescent="0.3">
      <c r="A1367" s="65">
        <v>1189</v>
      </c>
      <c r="B1367" s="245" t="s">
        <v>2001</v>
      </c>
      <c r="C1367" s="18" t="s">
        <v>2010</v>
      </c>
      <c r="D1367" s="16" t="s">
        <v>1652</v>
      </c>
      <c r="E1367" s="16" t="s">
        <v>19</v>
      </c>
      <c r="F1367" s="107">
        <f>1561600/1000</f>
        <v>1561.6</v>
      </c>
      <c r="G1367" s="107">
        <v>0</v>
      </c>
      <c r="H1367" s="107">
        <v>0</v>
      </c>
      <c r="I1367" s="107">
        <f>1561600/1000</f>
        <v>1561.6</v>
      </c>
      <c r="J1367" s="107">
        <v>0</v>
      </c>
      <c r="K1367" s="16" t="s">
        <v>1649</v>
      </c>
    </row>
    <row r="1368" spans="1:11" s="81" customFormat="1" ht="26.4" x14ac:dyDescent="0.3">
      <c r="A1368" s="65">
        <f>A1367+1</f>
        <v>1190</v>
      </c>
      <c r="B1368" s="315"/>
      <c r="C1368" s="18" t="s">
        <v>2011</v>
      </c>
      <c r="D1368" s="16" t="s">
        <v>1738</v>
      </c>
      <c r="E1368" s="16" t="s">
        <v>19</v>
      </c>
      <c r="F1368" s="107">
        <f>6480742.95/1000</f>
        <v>6480.7429499999998</v>
      </c>
      <c r="G1368" s="107">
        <v>0</v>
      </c>
      <c r="H1368" s="107">
        <v>0</v>
      </c>
      <c r="I1368" s="107">
        <f>6480742.95/1000</f>
        <v>6480.7429499999998</v>
      </c>
      <c r="J1368" s="107">
        <v>0</v>
      </c>
      <c r="K1368" s="16" t="s">
        <v>1649</v>
      </c>
    </row>
    <row r="1369" spans="1:11" s="81" customFormat="1" ht="26.4" x14ac:dyDescent="0.3">
      <c r="A1369" s="65">
        <f t="shared" ref="A1369:A1370" si="116">A1368+1</f>
        <v>1191</v>
      </c>
      <c r="B1369" s="315"/>
      <c r="C1369" s="18" t="s">
        <v>2012</v>
      </c>
      <c r="D1369" s="16" t="s">
        <v>2005</v>
      </c>
      <c r="E1369" s="16" t="s">
        <v>19</v>
      </c>
      <c r="F1369" s="107">
        <f>4195052.64/1000</f>
        <v>4195.0526399999999</v>
      </c>
      <c r="G1369" s="107">
        <v>0</v>
      </c>
      <c r="H1369" s="107">
        <v>0</v>
      </c>
      <c r="I1369" s="107">
        <f>4195052.64/1000</f>
        <v>4195.0526399999999</v>
      </c>
      <c r="J1369" s="107">
        <v>0</v>
      </c>
      <c r="K1369" s="16" t="s">
        <v>1649</v>
      </c>
    </row>
    <row r="1370" spans="1:11" s="81" customFormat="1" ht="26.4" x14ac:dyDescent="0.3">
      <c r="A1370" s="65">
        <f t="shared" si="116"/>
        <v>1192</v>
      </c>
      <c r="B1370" s="246"/>
      <c r="C1370" s="18" t="s">
        <v>2013</v>
      </c>
      <c r="D1370" s="16" t="s">
        <v>1691</v>
      </c>
      <c r="E1370" s="16" t="s">
        <v>19</v>
      </c>
      <c r="F1370" s="107">
        <f>14000000/1000</f>
        <v>14000</v>
      </c>
      <c r="G1370" s="107">
        <v>0</v>
      </c>
      <c r="H1370" s="107">
        <v>0</v>
      </c>
      <c r="I1370" s="107">
        <f>14000000/1000</f>
        <v>14000</v>
      </c>
      <c r="J1370" s="107">
        <v>0</v>
      </c>
      <c r="K1370" s="16" t="s">
        <v>1674</v>
      </c>
    </row>
    <row r="1371" spans="1:11" s="81" customFormat="1" x14ac:dyDescent="0.3">
      <c r="A1371" s="316" t="s">
        <v>1675</v>
      </c>
      <c r="B1371" s="317"/>
      <c r="C1371" s="318"/>
      <c r="D1371" s="84"/>
      <c r="E1371" s="65"/>
      <c r="F1371" s="192">
        <f>SUM(G1371:J1371)</f>
        <v>26237.39559</v>
      </c>
      <c r="G1371" s="192">
        <f>SUM(G1367:G1370)</f>
        <v>0</v>
      </c>
      <c r="H1371" s="192">
        <f>SUM(H1367:H1370)</f>
        <v>0</v>
      </c>
      <c r="I1371" s="192">
        <f>SUM(I1367:I1370)</f>
        <v>26237.39559</v>
      </c>
      <c r="J1371" s="192">
        <f>SUM(J1367:J1370)</f>
        <v>0</v>
      </c>
      <c r="K1371" s="65"/>
    </row>
    <row r="1372" spans="1:11" s="68" customFormat="1" ht="26.4" x14ac:dyDescent="0.3">
      <c r="A1372" s="65">
        <v>1193</v>
      </c>
      <c r="B1372" s="245" t="s">
        <v>2014</v>
      </c>
      <c r="C1372" s="18" t="s">
        <v>2015</v>
      </c>
      <c r="D1372" s="16" t="s">
        <v>1652</v>
      </c>
      <c r="E1372" s="16" t="s">
        <v>19</v>
      </c>
      <c r="F1372" s="107">
        <f>1375012.15/1000</f>
        <v>1375.01215</v>
      </c>
      <c r="G1372" s="107">
        <f>1375012.15/1000</f>
        <v>1375.01215</v>
      </c>
      <c r="H1372" s="107">
        <v>0</v>
      </c>
      <c r="I1372" s="107">
        <v>0</v>
      </c>
      <c r="J1372" s="107">
        <v>0</v>
      </c>
      <c r="K1372" s="16" t="s">
        <v>1632</v>
      </c>
    </row>
    <row r="1373" spans="1:11" s="68" customFormat="1" ht="52.8" x14ac:dyDescent="0.3">
      <c r="A1373" s="65">
        <v>1194</v>
      </c>
      <c r="B1373" s="246"/>
      <c r="C1373" s="18" t="s">
        <v>2016</v>
      </c>
      <c r="D1373" s="16" t="s">
        <v>2017</v>
      </c>
      <c r="E1373" s="16" t="s">
        <v>19</v>
      </c>
      <c r="F1373" s="107">
        <f>920570/1000</f>
        <v>920.57</v>
      </c>
      <c r="G1373" s="107">
        <f>920570/1000</f>
        <v>920.57</v>
      </c>
      <c r="H1373" s="107">
        <v>0</v>
      </c>
      <c r="I1373" s="107">
        <v>0</v>
      </c>
      <c r="J1373" s="107">
        <v>0</v>
      </c>
      <c r="K1373" s="16" t="s">
        <v>1638</v>
      </c>
    </row>
    <row r="1374" spans="1:11" s="81" customFormat="1" x14ac:dyDescent="0.3">
      <c r="A1374" s="316" t="s">
        <v>1628</v>
      </c>
      <c r="B1374" s="317"/>
      <c r="C1374" s="318"/>
      <c r="D1374" s="68"/>
      <c r="E1374" s="65"/>
      <c r="F1374" s="192">
        <f>SUM(G1374:J1374)</f>
        <v>2295.5821500000002</v>
      </c>
      <c r="G1374" s="192">
        <f>SUM(G1372:G1373)</f>
        <v>2295.5821500000002</v>
      </c>
      <c r="H1374" s="192">
        <f>SUM(H1372:H1373)</f>
        <v>0</v>
      </c>
      <c r="I1374" s="192">
        <f>SUM(I1372:I1373)</f>
        <v>0</v>
      </c>
      <c r="J1374" s="192">
        <f>SUM(J1372:J1373)</f>
        <v>0</v>
      </c>
      <c r="K1374" s="65"/>
    </row>
    <row r="1375" spans="1:11" s="68" customFormat="1" ht="26.4" x14ac:dyDescent="0.3">
      <c r="A1375" s="65">
        <v>1195</v>
      </c>
      <c r="B1375" s="245" t="s">
        <v>2014</v>
      </c>
      <c r="C1375" s="18" t="s">
        <v>2018</v>
      </c>
      <c r="D1375" s="16" t="s">
        <v>1652</v>
      </c>
      <c r="E1375" s="16" t="s">
        <v>19</v>
      </c>
      <c r="F1375" s="107">
        <f>1375012.15/1000</f>
        <v>1375.01215</v>
      </c>
      <c r="G1375" s="107">
        <v>0</v>
      </c>
      <c r="H1375" s="107">
        <f>1375012.15/1000</f>
        <v>1375.01215</v>
      </c>
      <c r="I1375" s="107">
        <v>0</v>
      </c>
      <c r="J1375" s="107">
        <v>0</v>
      </c>
      <c r="K1375" s="16" t="s">
        <v>1680</v>
      </c>
    </row>
    <row r="1376" spans="1:11" s="68" customFormat="1" ht="52.8" x14ac:dyDescent="0.3">
      <c r="A1376" s="65">
        <f>A1375+1</f>
        <v>1196</v>
      </c>
      <c r="B1376" s="315"/>
      <c r="C1376" s="18" t="s">
        <v>2019</v>
      </c>
      <c r="D1376" s="16" t="s">
        <v>2017</v>
      </c>
      <c r="E1376" s="16" t="s">
        <v>19</v>
      </c>
      <c r="F1376" s="107">
        <f>920570/1000</f>
        <v>920.57</v>
      </c>
      <c r="G1376" s="107">
        <v>0</v>
      </c>
      <c r="H1376" s="107">
        <f>920570/1000</f>
        <v>920.57</v>
      </c>
      <c r="I1376" s="107">
        <v>0</v>
      </c>
      <c r="J1376" s="107">
        <v>0</v>
      </c>
      <c r="K1376" s="16" t="s">
        <v>1672</v>
      </c>
    </row>
    <row r="1377" spans="1:11" s="68" customFormat="1" ht="26.4" x14ac:dyDescent="0.3">
      <c r="A1377" s="65">
        <f t="shared" ref="A1377" si="117">A1376+1</f>
        <v>1197</v>
      </c>
      <c r="B1377" s="246"/>
      <c r="C1377" s="18" t="s">
        <v>2020</v>
      </c>
      <c r="D1377" s="16" t="s">
        <v>944</v>
      </c>
      <c r="E1377" s="16" t="s">
        <v>19</v>
      </c>
      <c r="F1377" s="107">
        <f>814228.8/1000</f>
        <v>814.22880000000009</v>
      </c>
      <c r="G1377" s="107">
        <v>0</v>
      </c>
      <c r="H1377" s="107">
        <f>814228.8/1000</f>
        <v>814.22880000000009</v>
      </c>
      <c r="I1377" s="107">
        <v>0</v>
      </c>
      <c r="J1377" s="107">
        <v>0</v>
      </c>
      <c r="K1377" s="16" t="s">
        <v>1747</v>
      </c>
    </row>
    <row r="1378" spans="1:11" s="81" customFormat="1" x14ac:dyDescent="0.3">
      <c r="A1378" s="316" t="s">
        <v>1622</v>
      </c>
      <c r="B1378" s="317"/>
      <c r="C1378" s="318"/>
      <c r="D1378" s="16"/>
      <c r="E1378" s="65"/>
      <c r="F1378" s="192">
        <f>SUM(G1378:J1378)</f>
        <v>3109.81095</v>
      </c>
      <c r="G1378" s="192">
        <f>SUM(G1375:G1376)</f>
        <v>0</v>
      </c>
      <c r="H1378" s="192">
        <f>SUM(H1375:H1377)</f>
        <v>3109.81095</v>
      </c>
      <c r="I1378" s="192">
        <f>SUM(I1375:I1377)</f>
        <v>0</v>
      </c>
      <c r="J1378" s="192">
        <f>SUM(J1375:J1376)</f>
        <v>0</v>
      </c>
      <c r="K1378" s="65"/>
    </row>
    <row r="1379" spans="1:11" s="68" customFormat="1" ht="26.4" x14ac:dyDescent="0.3">
      <c r="A1379" s="65">
        <v>1198</v>
      </c>
      <c r="B1379" s="245" t="s">
        <v>2014</v>
      </c>
      <c r="C1379" s="18" t="s">
        <v>2021</v>
      </c>
      <c r="D1379" s="16" t="s">
        <v>1652</v>
      </c>
      <c r="E1379" s="16" t="s">
        <v>19</v>
      </c>
      <c r="F1379" s="107">
        <f>1375012.15/1000</f>
        <v>1375.01215</v>
      </c>
      <c r="G1379" s="107">
        <v>0</v>
      </c>
      <c r="H1379" s="107">
        <v>0</v>
      </c>
      <c r="I1379" s="107">
        <f>1375012.15/1000</f>
        <v>1375.01215</v>
      </c>
      <c r="J1379" s="107">
        <v>0</v>
      </c>
      <c r="K1379" s="16" t="s">
        <v>1649</v>
      </c>
    </row>
    <row r="1380" spans="1:11" s="68" customFormat="1" ht="52.8" x14ac:dyDescent="0.3">
      <c r="A1380" s="65">
        <f>A1379+1</f>
        <v>1199</v>
      </c>
      <c r="B1380" s="315"/>
      <c r="C1380" s="18" t="s">
        <v>2022</v>
      </c>
      <c r="D1380" s="16" t="s">
        <v>2017</v>
      </c>
      <c r="E1380" s="16" t="s">
        <v>19</v>
      </c>
      <c r="F1380" s="107">
        <f>920570/1000</f>
        <v>920.57</v>
      </c>
      <c r="G1380" s="107">
        <v>0</v>
      </c>
      <c r="H1380" s="107">
        <v>0</v>
      </c>
      <c r="I1380" s="107">
        <f>920570/1000</f>
        <v>920.57</v>
      </c>
      <c r="J1380" s="107">
        <v>0</v>
      </c>
      <c r="K1380" s="16" t="s">
        <v>1674</v>
      </c>
    </row>
    <row r="1381" spans="1:11" s="68" customFormat="1" ht="26.4" x14ac:dyDescent="0.3">
      <c r="A1381" s="69">
        <f>A1380+1</f>
        <v>1200</v>
      </c>
      <c r="B1381" s="246"/>
      <c r="C1381" s="18" t="s">
        <v>2023</v>
      </c>
      <c r="D1381" s="16" t="s">
        <v>944</v>
      </c>
      <c r="E1381" s="16" t="s">
        <v>19</v>
      </c>
      <c r="F1381" s="107">
        <f>820732.8/1000</f>
        <v>820.7328</v>
      </c>
      <c r="G1381" s="107">
        <v>0</v>
      </c>
      <c r="H1381" s="107">
        <v>0</v>
      </c>
      <c r="I1381" s="107">
        <f>820732.8/1000</f>
        <v>820.7328</v>
      </c>
      <c r="J1381" s="107">
        <v>0</v>
      </c>
      <c r="K1381" s="16" t="s">
        <v>1725</v>
      </c>
    </row>
    <row r="1382" spans="1:11" s="81" customFormat="1" x14ac:dyDescent="0.3">
      <c r="A1382" s="316" t="s">
        <v>1675</v>
      </c>
      <c r="B1382" s="317"/>
      <c r="C1382" s="318"/>
      <c r="D1382" s="84"/>
      <c r="E1382" s="65"/>
      <c r="F1382" s="192">
        <f>SUM(G1382:J1382)</f>
        <v>3116.31495</v>
      </c>
      <c r="G1382" s="192">
        <f>SUM(G1379:G1381)</f>
        <v>0</v>
      </c>
      <c r="H1382" s="192">
        <f t="shared" ref="H1382" si="118">SUM(H1379:H1381)</f>
        <v>0</v>
      </c>
      <c r="I1382" s="192">
        <f>SUM(I1379:I1381)</f>
        <v>3116.31495</v>
      </c>
      <c r="J1382" s="192">
        <f t="shared" ref="J1382" si="119">SUM(J1379:J1381)</f>
        <v>0</v>
      </c>
      <c r="K1382" s="65"/>
    </row>
    <row r="1383" spans="1:11" s="94" customFormat="1" ht="26.4" x14ac:dyDescent="0.3">
      <c r="A1383" s="87">
        <v>1201</v>
      </c>
      <c r="B1383" s="294" t="s">
        <v>2024</v>
      </c>
      <c r="C1383" s="98" t="s">
        <v>2025</v>
      </c>
      <c r="D1383" s="98" t="s">
        <v>182</v>
      </c>
      <c r="E1383" s="99" t="s">
        <v>19</v>
      </c>
      <c r="F1383" s="100">
        <f>264020/1000</f>
        <v>264.02</v>
      </c>
      <c r="G1383" s="100">
        <f>264020/1000</f>
        <v>264.02</v>
      </c>
      <c r="H1383" s="100">
        <v>0</v>
      </c>
      <c r="I1383" s="100">
        <v>0</v>
      </c>
      <c r="J1383" s="101">
        <v>0</v>
      </c>
      <c r="K1383" s="102" t="s">
        <v>1635</v>
      </c>
    </row>
    <row r="1384" spans="1:11" s="104" customFormat="1" ht="26.4" x14ac:dyDescent="0.3">
      <c r="A1384" s="87">
        <v>1202</v>
      </c>
      <c r="B1384" s="295"/>
      <c r="C1384" s="98" t="s">
        <v>2026</v>
      </c>
      <c r="D1384" s="98" t="s">
        <v>137</v>
      </c>
      <c r="E1384" s="99" t="s">
        <v>19</v>
      </c>
      <c r="F1384" s="103">
        <f>6574500/1000</f>
        <v>6574.5</v>
      </c>
      <c r="G1384" s="103">
        <f>2500/1000</f>
        <v>2.5</v>
      </c>
      <c r="H1384" s="100">
        <f>3286000/1000</f>
        <v>3286</v>
      </c>
      <c r="I1384" s="100">
        <f>3286000/1000</f>
        <v>3286</v>
      </c>
      <c r="J1384" s="101">
        <v>0</v>
      </c>
      <c r="K1384" s="102" t="s">
        <v>1632</v>
      </c>
    </row>
    <row r="1385" spans="1:11" s="104" customFormat="1" x14ac:dyDescent="0.3">
      <c r="A1385" s="302" t="s">
        <v>2027</v>
      </c>
      <c r="B1385" s="303"/>
      <c r="C1385" s="303"/>
      <c r="D1385" s="304"/>
      <c r="E1385" s="90"/>
      <c r="F1385" s="135">
        <f>SUM(F1383:F1384)</f>
        <v>6838.52</v>
      </c>
      <c r="G1385" s="135">
        <f t="shared" ref="G1385:I1385" si="120">SUM(G1383:G1384)</f>
        <v>266.52</v>
      </c>
      <c r="H1385" s="135">
        <f t="shared" si="120"/>
        <v>3286</v>
      </c>
      <c r="I1385" s="135">
        <f t="shared" si="120"/>
        <v>3286</v>
      </c>
      <c r="J1385" s="132">
        <v>0</v>
      </c>
      <c r="K1385" s="105"/>
    </row>
    <row r="1386" spans="1:11" s="104" customFormat="1" ht="39.6" x14ac:dyDescent="0.3">
      <c r="A1386" s="87">
        <v>1203</v>
      </c>
      <c r="B1386" s="87" t="s">
        <v>2024</v>
      </c>
      <c r="C1386" s="98" t="s">
        <v>2028</v>
      </c>
      <c r="D1386" s="98" t="s">
        <v>182</v>
      </c>
      <c r="E1386" s="99" t="s">
        <v>19</v>
      </c>
      <c r="F1386" s="100">
        <f>264020/1000</f>
        <v>264.02</v>
      </c>
      <c r="G1386" s="103">
        <v>0</v>
      </c>
      <c r="H1386" s="100">
        <f>264020/1000</f>
        <v>264.02</v>
      </c>
      <c r="I1386" s="100">
        <v>0</v>
      </c>
      <c r="J1386" s="101">
        <v>0</v>
      </c>
      <c r="K1386" s="102" t="s">
        <v>1672</v>
      </c>
    </row>
    <row r="1387" spans="1:11" s="104" customFormat="1" x14ac:dyDescent="0.3">
      <c r="A1387" s="302" t="s">
        <v>1622</v>
      </c>
      <c r="B1387" s="303"/>
      <c r="C1387" s="303"/>
      <c r="D1387" s="304"/>
      <c r="E1387" s="87"/>
      <c r="F1387" s="135">
        <f>SUM(F1386:F1386)</f>
        <v>264.02</v>
      </c>
      <c r="G1387" s="135">
        <f t="shared" ref="G1387:I1387" si="121">SUM(G1386:G1386)</f>
        <v>0</v>
      </c>
      <c r="H1387" s="135">
        <f t="shared" si="121"/>
        <v>264.02</v>
      </c>
      <c r="I1387" s="135">
        <f t="shared" si="121"/>
        <v>0</v>
      </c>
      <c r="J1387" s="132">
        <v>0</v>
      </c>
      <c r="K1387" s="105"/>
    </row>
    <row r="1388" spans="1:11" s="104" customFormat="1" ht="26.4" x14ac:dyDescent="0.3">
      <c r="A1388" s="87">
        <v>1204</v>
      </c>
      <c r="B1388" s="87" t="s">
        <v>2024</v>
      </c>
      <c r="C1388" s="80" t="s">
        <v>2029</v>
      </c>
      <c r="D1388" s="98" t="s">
        <v>182</v>
      </c>
      <c r="E1388" s="99" t="s">
        <v>19</v>
      </c>
      <c r="F1388" s="100">
        <f>264020/1000</f>
        <v>264.02</v>
      </c>
      <c r="G1388" s="101">
        <v>0</v>
      </c>
      <c r="H1388" s="101">
        <v>0</v>
      </c>
      <c r="I1388" s="100">
        <f>264020/1000</f>
        <v>264.02</v>
      </c>
      <c r="J1388" s="101">
        <v>0</v>
      </c>
      <c r="K1388" s="102" t="s">
        <v>1674</v>
      </c>
    </row>
    <row r="1389" spans="1:11" s="104" customFormat="1" x14ac:dyDescent="0.3">
      <c r="A1389" s="302" t="s">
        <v>2030</v>
      </c>
      <c r="B1389" s="303"/>
      <c r="C1389" s="303"/>
      <c r="D1389" s="304"/>
      <c r="E1389" s="87"/>
      <c r="F1389" s="135">
        <f>SUM(F1388)</f>
        <v>264.02</v>
      </c>
      <c r="G1389" s="135">
        <f t="shared" ref="G1389:I1389" si="122">SUM(G1388)</f>
        <v>0</v>
      </c>
      <c r="H1389" s="135">
        <f t="shared" si="122"/>
        <v>0</v>
      </c>
      <c r="I1389" s="135">
        <f t="shared" si="122"/>
        <v>264.02</v>
      </c>
      <c r="J1389" s="132">
        <v>0</v>
      </c>
      <c r="K1389" s="105"/>
    </row>
    <row r="1390" spans="1:11" s="104" customFormat="1" ht="26.4" x14ac:dyDescent="0.3">
      <c r="A1390" s="87">
        <v>1205</v>
      </c>
      <c r="B1390" s="87" t="s">
        <v>2031</v>
      </c>
      <c r="C1390" s="98" t="s">
        <v>2032</v>
      </c>
      <c r="D1390" s="98" t="s">
        <v>137</v>
      </c>
      <c r="E1390" s="99" t="s">
        <v>19</v>
      </c>
      <c r="F1390" s="103">
        <f>5557000/1000</f>
        <v>5557</v>
      </c>
      <c r="G1390" s="103">
        <f>258000/1000</f>
        <v>258</v>
      </c>
      <c r="H1390" s="100">
        <f>2674000/1000</f>
        <v>2674</v>
      </c>
      <c r="I1390" s="100">
        <f>2625000/1000</f>
        <v>2625</v>
      </c>
      <c r="J1390" s="101">
        <v>0</v>
      </c>
      <c r="K1390" s="102" t="s">
        <v>1635</v>
      </c>
    </row>
    <row r="1391" spans="1:11" s="104" customFormat="1" x14ac:dyDescent="0.3">
      <c r="A1391" s="302" t="s">
        <v>2027</v>
      </c>
      <c r="B1391" s="303"/>
      <c r="C1391" s="303"/>
      <c r="D1391" s="304"/>
      <c r="E1391" s="90"/>
      <c r="F1391" s="135">
        <f>SUM(F1390)</f>
        <v>5557</v>
      </c>
      <c r="G1391" s="135">
        <f t="shared" ref="G1391:I1391" si="123">SUM(G1390)</f>
        <v>258</v>
      </c>
      <c r="H1391" s="135">
        <f t="shared" si="123"/>
        <v>2674</v>
      </c>
      <c r="I1391" s="135">
        <f t="shared" si="123"/>
        <v>2625</v>
      </c>
      <c r="J1391" s="132">
        <v>0</v>
      </c>
      <c r="K1391" s="105"/>
    </row>
    <row r="1392" spans="1:11" s="104" customFormat="1" ht="26.4" x14ac:dyDescent="0.3">
      <c r="A1392" s="87">
        <v>1206</v>
      </c>
      <c r="B1392" s="91" t="s">
        <v>2031</v>
      </c>
      <c r="C1392" s="106" t="s">
        <v>2033</v>
      </c>
      <c r="D1392" s="80" t="s">
        <v>358</v>
      </c>
      <c r="E1392" s="90" t="s">
        <v>19</v>
      </c>
      <c r="F1392" s="100">
        <f>1858244.68/1000</f>
        <v>1858.24468</v>
      </c>
      <c r="G1392" s="101">
        <v>0</v>
      </c>
      <c r="H1392" s="100">
        <f>1858244.68/1000</f>
        <v>1858.24468</v>
      </c>
      <c r="I1392" s="107">
        <v>0</v>
      </c>
      <c r="J1392" s="100">
        <v>0</v>
      </c>
      <c r="K1392" s="105">
        <v>46447</v>
      </c>
    </row>
    <row r="1393" spans="1:11" s="104" customFormat="1" x14ac:dyDescent="0.3">
      <c r="A1393" s="302" t="s">
        <v>1622</v>
      </c>
      <c r="B1393" s="303"/>
      <c r="C1393" s="303"/>
      <c r="D1393" s="304"/>
      <c r="E1393" s="87"/>
      <c r="F1393" s="135">
        <f>SUM(F1392)</f>
        <v>1858.24468</v>
      </c>
      <c r="G1393" s="135">
        <f t="shared" ref="G1393:I1393" si="124">SUM(G1392)</f>
        <v>0</v>
      </c>
      <c r="H1393" s="135">
        <f t="shared" si="124"/>
        <v>1858.24468</v>
      </c>
      <c r="I1393" s="135">
        <f t="shared" si="124"/>
        <v>0</v>
      </c>
      <c r="J1393" s="135">
        <v>0</v>
      </c>
      <c r="K1393" s="105"/>
    </row>
    <row r="1394" spans="1:11" s="104" customFormat="1" ht="26.4" x14ac:dyDescent="0.3">
      <c r="A1394" s="87">
        <v>1207</v>
      </c>
      <c r="B1394" s="87" t="s">
        <v>2031</v>
      </c>
      <c r="C1394" s="80" t="s">
        <v>2034</v>
      </c>
      <c r="D1394" s="80" t="s">
        <v>358</v>
      </c>
      <c r="E1394" s="98" t="s">
        <v>19</v>
      </c>
      <c r="F1394" s="100">
        <f>1858244.68/1000</f>
        <v>1858.24468</v>
      </c>
      <c r="G1394" s="101">
        <v>0</v>
      </c>
      <c r="H1394" s="101">
        <v>0</v>
      </c>
      <c r="I1394" s="100">
        <f>1858244.68/1000</f>
        <v>1858.24468</v>
      </c>
      <c r="J1394" s="101">
        <v>0</v>
      </c>
      <c r="K1394" s="105">
        <v>46813</v>
      </c>
    </row>
    <row r="1395" spans="1:11" s="104" customFormat="1" x14ac:dyDescent="0.3">
      <c r="A1395" s="296" t="s">
        <v>2030</v>
      </c>
      <c r="B1395" s="296"/>
      <c r="C1395" s="296"/>
      <c r="D1395" s="296"/>
      <c r="E1395" s="87"/>
      <c r="F1395" s="135">
        <f>SUM(F1394)</f>
        <v>1858.24468</v>
      </c>
      <c r="G1395" s="135">
        <f t="shared" ref="G1395:I1395" si="125">SUM(G1394)</f>
        <v>0</v>
      </c>
      <c r="H1395" s="135">
        <f t="shared" si="125"/>
        <v>0</v>
      </c>
      <c r="I1395" s="135">
        <f t="shared" si="125"/>
        <v>1858.24468</v>
      </c>
      <c r="J1395" s="132">
        <v>0</v>
      </c>
      <c r="K1395" s="105"/>
    </row>
    <row r="1396" spans="1:11" s="104" customFormat="1" ht="26.4" x14ac:dyDescent="0.3">
      <c r="A1396" s="87">
        <v>1208</v>
      </c>
      <c r="B1396" s="87" t="s">
        <v>2035</v>
      </c>
      <c r="C1396" s="98" t="s">
        <v>2036</v>
      </c>
      <c r="D1396" s="98" t="s">
        <v>137</v>
      </c>
      <c r="E1396" s="98" t="s">
        <v>19</v>
      </c>
      <c r="F1396" s="103">
        <f>5950020/1000</f>
        <v>5950.02</v>
      </c>
      <c r="G1396" s="103">
        <f>270384/1000</f>
        <v>270.38400000000001</v>
      </c>
      <c r="H1396" s="100">
        <f>2802876/1000</f>
        <v>2802.8760000000002</v>
      </c>
      <c r="I1396" s="100">
        <f>2876760/1000</f>
        <v>2876.76</v>
      </c>
      <c r="J1396" s="101">
        <v>0</v>
      </c>
      <c r="K1396" s="102" t="s">
        <v>2037</v>
      </c>
    </row>
    <row r="1397" spans="1:11" s="104" customFormat="1" x14ac:dyDescent="0.3">
      <c r="A1397" s="302" t="s">
        <v>2027</v>
      </c>
      <c r="B1397" s="303"/>
      <c r="C1397" s="303"/>
      <c r="D1397" s="304"/>
      <c r="E1397" s="90"/>
      <c r="F1397" s="135">
        <f>SUM(F1396)</f>
        <v>5950.02</v>
      </c>
      <c r="G1397" s="135">
        <f t="shared" ref="G1397:I1397" si="126">SUM(G1396)</f>
        <v>270.38400000000001</v>
      </c>
      <c r="H1397" s="135">
        <f t="shared" si="126"/>
        <v>2802.8760000000002</v>
      </c>
      <c r="I1397" s="135">
        <f t="shared" si="126"/>
        <v>2876.76</v>
      </c>
      <c r="J1397" s="132">
        <v>0</v>
      </c>
      <c r="K1397" s="105"/>
    </row>
    <row r="1398" spans="1:11" s="104" customFormat="1" ht="26.4" x14ac:dyDescent="0.3">
      <c r="A1398" s="87">
        <v>1209</v>
      </c>
      <c r="B1398" s="294" t="s">
        <v>2038</v>
      </c>
      <c r="C1398" s="98" t="s">
        <v>2039</v>
      </c>
      <c r="D1398" s="98" t="s">
        <v>182</v>
      </c>
      <c r="E1398" s="99" t="s">
        <v>19</v>
      </c>
      <c r="F1398" s="103">
        <f>800000/1000</f>
        <v>800</v>
      </c>
      <c r="G1398" s="103">
        <f>800000/1000</f>
        <v>800</v>
      </c>
      <c r="H1398" s="100">
        <v>0</v>
      </c>
      <c r="I1398" s="100">
        <v>0</v>
      </c>
      <c r="J1398" s="101">
        <v>0</v>
      </c>
      <c r="K1398" s="102" t="s">
        <v>1635</v>
      </c>
    </row>
    <row r="1399" spans="1:11" s="104" customFormat="1" ht="26.4" x14ac:dyDescent="0.3">
      <c r="A1399" s="128">
        <v>1210</v>
      </c>
      <c r="B1399" s="295"/>
      <c r="C1399" s="98" t="s">
        <v>2040</v>
      </c>
      <c r="D1399" s="98" t="s">
        <v>137</v>
      </c>
      <c r="E1399" s="99" t="s">
        <v>19</v>
      </c>
      <c r="F1399" s="103">
        <f>9859337.6/1000</f>
        <v>9859.3375999999989</v>
      </c>
      <c r="G1399" s="103">
        <v>0</v>
      </c>
      <c r="H1399" s="100">
        <v>4929.6687999999995</v>
      </c>
      <c r="I1399" s="100">
        <v>4929.6687999999995</v>
      </c>
      <c r="J1399" s="101">
        <v>0</v>
      </c>
      <c r="K1399" s="102" t="s">
        <v>1632</v>
      </c>
    </row>
    <row r="1400" spans="1:11" s="104" customFormat="1" x14ac:dyDescent="0.3">
      <c r="A1400" s="312" t="s">
        <v>2027</v>
      </c>
      <c r="B1400" s="313"/>
      <c r="C1400" s="313"/>
      <c r="D1400" s="314"/>
      <c r="E1400" s="108"/>
      <c r="F1400" s="132">
        <f>SUM(F1398:F1399)</f>
        <v>10659.337599999999</v>
      </c>
      <c r="G1400" s="132">
        <f>G1398+G1399</f>
        <v>800</v>
      </c>
      <c r="H1400" s="132">
        <f>SUM(H1399)</f>
        <v>4929.6687999999995</v>
      </c>
      <c r="I1400" s="134">
        <f>SUM(I1399)</f>
        <v>4929.6687999999995</v>
      </c>
      <c r="J1400" s="132">
        <v>0</v>
      </c>
      <c r="K1400" s="110"/>
    </row>
    <row r="1401" spans="1:11" s="104" customFormat="1" ht="26.4" x14ac:dyDescent="0.3">
      <c r="A1401" s="87">
        <v>1211</v>
      </c>
      <c r="B1401" s="294" t="s">
        <v>2041</v>
      </c>
      <c r="C1401" s="80" t="s">
        <v>2042</v>
      </c>
      <c r="D1401" s="80" t="s">
        <v>2043</v>
      </c>
      <c r="E1401" s="98" t="s">
        <v>19</v>
      </c>
      <c r="F1401" s="111">
        <v>3200000</v>
      </c>
      <c r="G1401" s="112">
        <v>3200000</v>
      </c>
      <c r="H1401" s="112">
        <v>0</v>
      </c>
      <c r="I1401" s="111">
        <v>0</v>
      </c>
      <c r="J1401" s="101">
        <v>0</v>
      </c>
      <c r="K1401" s="105">
        <v>46082</v>
      </c>
    </row>
    <row r="1402" spans="1:11" s="104" customFormat="1" ht="26.4" x14ac:dyDescent="0.3">
      <c r="A1402" s="87">
        <v>1212</v>
      </c>
      <c r="B1402" s="305"/>
      <c r="C1402" s="80" t="s">
        <v>2044</v>
      </c>
      <c r="D1402" s="80" t="s">
        <v>2045</v>
      </c>
      <c r="E1402" s="98" t="s">
        <v>19</v>
      </c>
      <c r="F1402" s="111">
        <v>6000000</v>
      </c>
      <c r="G1402" s="112">
        <v>6000000</v>
      </c>
      <c r="H1402" s="112">
        <v>0</v>
      </c>
      <c r="I1402" s="112">
        <v>0</v>
      </c>
      <c r="J1402" s="101">
        <v>0</v>
      </c>
      <c r="K1402" s="105">
        <v>46054</v>
      </c>
    </row>
    <row r="1403" spans="1:11" s="104" customFormat="1" ht="26.4" x14ac:dyDescent="0.3">
      <c r="A1403" s="87">
        <v>1213</v>
      </c>
      <c r="B1403" s="305"/>
      <c r="C1403" s="16" t="s">
        <v>2046</v>
      </c>
      <c r="D1403" s="80" t="s">
        <v>2047</v>
      </c>
      <c r="E1403" s="98" t="s">
        <v>19</v>
      </c>
      <c r="F1403" s="111">
        <v>2500000</v>
      </c>
      <c r="G1403" s="112">
        <v>0</v>
      </c>
      <c r="H1403" s="111">
        <v>2500000</v>
      </c>
      <c r="I1403" s="111">
        <v>0</v>
      </c>
      <c r="J1403" s="101">
        <v>0</v>
      </c>
      <c r="K1403" s="105">
        <v>46357</v>
      </c>
    </row>
    <row r="1404" spans="1:11" s="104" customFormat="1" ht="26.4" x14ac:dyDescent="0.3">
      <c r="A1404" s="87">
        <v>1214</v>
      </c>
      <c r="B1404" s="295"/>
      <c r="C1404" s="80" t="s">
        <v>2048</v>
      </c>
      <c r="D1404" s="80" t="s">
        <v>2047</v>
      </c>
      <c r="E1404" s="98" t="s">
        <v>19</v>
      </c>
      <c r="F1404" s="111">
        <v>2500071.2999999998</v>
      </c>
      <c r="G1404" s="112">
        <v>0</v>
      </c>
      <c r="H1404" s="111">
        <v>0</v>
      </c>
      <c r="I1404" s="111">
        <v>2500071.2999999998</v>
      </c>
      <c r="J1404" s="101">
        <v>0</v>
      </c>
      <c r="K1404" s="105">
        <v>46357</v>
      </c>
    </row>
    <row r="1405" spans="1:11" s="104" customFormat="1" x14ac:dyDescent="0.3">
      <c r="A1405" s="296" t="s">
        <v>2027</v>
      </c>
      <c r="B1405" s="296"/>
      <c r="C1405" s="296"/>
      <c r="D1405" s="296"/>
      <c r="E1405" s="87"/>
      <c r="F1405" s="129">
        <f>SUM(F1401:F1404)</f>
        <v>14200071.300000001</v>
      </c>
      <c r="G1405" s="129">
        <f t="shared" ref="G1405:I1405" si="127">SUM(G1401:G1404)</f>
        <v>9200000</v>
      </c>
      <c r="H1405" s="129">
        <f t="shared" si="127"/>
        <v>2500000</v>
      </c>
      <c r="I1405" s="129">
        <f t="shared" si="127"/>
        <v>2500071.2999999998</v>
      </c>
      <c r="J1405" s="132">
        <v>0</v>
      </c>
      <c r="K1405" s="105"/>
    </row>
    <row r="1406" spans="1:11" s="104" customFormat="1" ht="66" x14ac:dyDescent="0.3">
      <c r="A1406" s="87">
        <v>1215</v>
      </c>
      <c r="B1406" s="294" t="s">
        <v>2049</v>
      </c>
      <c r="C1406" s="98" t="s">
        <v>2050</v>
      </c>
      <c r="D1406" s="98" t="s">
        <v>323</v>
      </c>
      <c r="E1406" s="99" t="s">
        <v>19</v>
      </c>
      <c r="F1406" s="103">
        <v>78</v>
      </c>
      <c r="G1406" s="103">
        <v>78</v>
      </c>
      <c r="H1406" s="100">
        <v>0</v>
      </c>
      <c r="I1406" s="100">
        <v>0</v>
      </c>
      <c r="J1406" s="101">
        <v>0</v>
      </c>
      <c r="K1406" s="102" t="s">
        <v>1836</v>
      </c>
    </row>
    <row r="1407" spans="1:11" s="104" customFormat="1" ht="26.4" x14ac:dyDescent="0.3">
      <c r="A1407" s="87">
        <v>1216</v>
      </c>
      <c r="B1407" s="305"/>
      <c r="C1407" s="98" t="s">
        <v>2051</v>
      </c>
      <c r="D1407" s="98" t="s">
        <v>2052</v>
      </c>
      <c r="E1407" s="99" t="s">
        <v>19</v>
      </c>
      <c r="F1407" s="103">
        <v>492.66198000000003</v>
      </c>
      <c r="G1407" s="103">
        <v>0</v>
      </c>
      <c r="H1407" s="103">
        <v>492.66198000000003</v>
      </c>
      <c r="I1407" s="100">
        <v>0</v>
      </c>
      <c r="J1407" s="101">
        <v>0</v>
      </c>
      <c r="K1407" s="102" t="s">
        <v>1836</v>
      </c>
    </row>
    <row r="1408" spans="1:11" s="104" customFormat="1" ht="26.4" x14ac:dyDescent="0.3">
      <c r="A1408" s="87">
        <v>1217</v>
      </c>
      <c r="B1408" s="305"/>
      <c r="C1408" s="98" t="s">
        <v>2053</v>
      </c>
      <c r="D1408" s="98" t="s">
        <v>137</v>
      </c>
      <c r="E1408" s="99" t="s">
        <v>19</v>
      </c>
      <c r="F1408" s="113">
        <v>9391080</v>
      </c>
      <c r="G1408" s="113">
        <v>0</v>
      </c>
      <c r="H1408" s="111">
        <v>4695540</v>
      </c>
      <c r="I1408" s="111">
        <v>4695540</v>
      </c>
      <c r="J1408" s="101">
        <v>0</v>
      </c>
      <c r="K1408" s="102" t="s">
        <v>1661</v>
      </c>
    </row>
    <row r="1409" spans="1:11" s="104" customFormat="1" ht="26.4" x14ac:dyDescent="0.3">
      <c r="A1409" s="87">
        <v>1218</v>
      </c>
      <c r="B1409" s="295"/>
      <c r="C1409" s="98" t="s">
        <v>2054</v>
      </c>
      <c r="D1409" s="98" t="s">
        <v>591</v>
      </c>
      <c r="E1409" s="99" t="s">
        <v>19</v>
      </c>
      <c r="F1409" s="113">
        <v>375000</v>
      </c>
      <c r="G1409" s="113">
        <v>375000</v>
      </c>
      <c r="H1409" s="111">
        <v>0</v>
      </c>
      <c r="I1409" s="111">
        <v>0</v>
      </c>
      <c r="J1409" s="101">
        <v>0</v>
      </c>
      <c r="K1409" s="102" t="s">
        <v>1635</v>
      </c>
    </row>
    <row r="1410" spans="1:11" s="104" customFormat="1" x14ac:dyDescent="0.3">
      <c r="A1410" s="302" t="s">
        <v>2027</v>
      </c>
      <c r="B1410" s="303"/>
      <c r="C1410" s="303"/>
      <c r="D1410" s="304"/>
      <c r="E1410" s="90"/>
      <c r="F1410" s="129">
        <f>SUM(F1406:F1409)</f>
        <v>9766650.6619799994</v>
      </c>
      <c r="G1410" s="129">
        <f t="shared" ref="G1410:I1410" si="128">SUM(G1406:G1409)</f>
        <v>375078</v>
      </c>
      <c r="H1410" s="129">
        <f t="shared" si="128"/>
        <v>4696032.6619800003</v>
      </c>
      <c r="I1410" s="129">
        <f t="shared" si="128"/>
        <v>4695540</v>
      </c>
      <c r="J1410" s="132">
        <v>0</v>
      </c>
      <c r="K1410" s="105"/>
    </row>
    <row r="1411" spans="1:11" s="104" customFormat="1" ht="66" x14ac:dyDescent="0.3">
      <c r="A1411" s="87">
        <v>1219</v>
      </c>
      <c r="B1411" s="294" t="s">
        <v>2049</v>
      </c>
      <c r="C1411" s="106" t="s">
        <v>2055</v>
      </c>
      <c r="D1411" s="80" t="s">
        <v>323</v>
      </c>
      <c r="E1411" s="90" t="s">
        <v>19</v>
      </c>
      <c r="F1411" s="111">
        <v>78000</v>
      </c>
      <c r="G1411" s="112">
        <v>0</v>
      </c>
      <c r="H1411" s="112">
        <v>78000</v>
      </c>
      <c r="I1411" s="114">
        <v>0</v>
      </c>
      <c r="J1411" s="101">
        <v>0</v>
      </c>
      <c r="K1411" s="105">
        <v>46661</v>
      </c>
    </row>
    <row r="1412" spans="1:11" s="104" customFormat="1" ht="26.4" x14ac:dyDescent="0.3">
      <c r="A1412" s="85">
        <v>1220</v>
      </c>
      <c r="B1412" s="305"/>
      <c r="C1412" s="106" t="s">
        <v>2056</v>
      </c>
      <c r="D1412" s="80" t="s">
        <v>2052</v>
      </c>
      <c r="E1412" s="90" t="s">
        <v>19</v>
      </c>
      <c r="F1412" s="111">
        <v>508505.97</v>
      </c>
      <c r="G1412" s="112">
        <v>0</v>
      </c>
      <c r="H1412" s="111">
        <v>0</v>
      </c>
      <c r="I1412" s="111">
        <v>508505.97</v>
      </c>
      <c r="J1412" s="101">
        <v>0</v>
      </c>
      <c r="K1412" s="105">
        <v>46661</v>
      </c>
    </row>
    <row r="1413" spans="1:11" s="104" customFormat="1" ht="26.4" x14ac:dyDescent="0.3">
      <c r="A1413" s="85">
        <v>1221</v>
      </c>
      <c r="B1413" s="295"/>
      <c r="C1413" s="80" t="s">
        <v>2057</v>
      </c>
      <c r="D1413" s="80" t="s">
        <v>591</v>
      </c>
      <c r="E1413" s="90" t="s">
        <v>19</v>
      </c>
      <c r="F1413" s="111">
        <v>372600</v>
      </c>
      <c r="G1413" s="112">
        <v>0</v>
      </c>
      <c r="H1413" s="112">
        <v>372600</v>
      </c>
      <c r="I1413" s="114">
        <v>0</v>
      </c>
      <c r="J1413" s="101">
        <v>0</v>
      </c>
      <c r="K1413" s="105">
        <v>46447</v>
      </c>
    </row>
    <row r="1414" spans="1:11" s="104" customFormat="1" x14ac:dyDescent="0.3">
      <c r="A1414" s="302" t="s">
        <v>1622</v>
      </c>
      <c r="B1414" s="303"/>
      <c r="C1414" s="303"/>
      <c r="D1414" s="304"/>
      <c r="E1414" s="87"/>
      <c r="F1414" s="129">
        <f>SUM(F1411:F1413)</f>
        <v>959105.97</v>
      </c>
      <c r="G1414" s="129">
        <f t="shared" ref="G1414:I1414" si="129">SUM(G1411:G1413)</f>
        <v>0</v>
      </c>
      <c r="H1414" s="129">
        <f t="shared" si="129"/>
        <v>450600</v>
      </c>
      <c r="I1414" s="129">
        <f t="shared" si="129"/>
        <v>508505.97</v>
      </c>
      <c r="J1414" s="132">
        <v>0</v>
      </c>
      <c r="K1414" s="105"/>
    </row>
    <row r="1415" spans="1:11" s="104" customFormat="1" ht="66" x14ac:dyDescent="0.3">
      <c r="A1415" s="87">
        <v>1222</v>
      </c>
      <c r="B1415" s="294" t="s">
        <v>2049</v>
      </c>
      <c r="C1415" s="106" t="s">
        <v>2058</v>
      </c>
      <c r="D1415" s="80" t="s">
        <v>323</v>
      </c>
      <c r="E1415" s="87" t="s">
        <v>19</v>
      </c>
      <c r="F1415" s="111">
        <v>78000</v>
      </c>
      <c r="G1415" s="112">
        <v>0</v>
      </c>
      <c r="H1415" s="112">
        <v>0</v>
      </c>
      <c r="I1415" s="111">
        <v>78000</v>
      </c>
      <c r="J1415" s="101">
        <v>0</v>
      </c>
      <c r="K1415" s="105">
        <v>47027</v>
      </c>
    </row>
    <row r="1416" spans="1:11" s="104" customFormat="1" ht="26.4" x14ac:dyDescent="0.3">
      <c r="A1416" s="85">
        <v>1223</v>
      </c>
      <c r="B1416" s="295"/>
      <c r="C1416" s="80" t="s">
        <v>2059</v>
      </c>
      <c r="D1416" s="80" t="s">
        <v>591</v>
      </c>
      <c r="E1416" s="87" t="s">
        <v>19</v>
      </c>
      <c r="F1416" s="111">
        <v>372600</v>
      </c>
      <c r="G1416" s="112">
        <v>0</v>
      </c>
      <c r="H1416" s="112">
        <v>0</v>
      </c>
      <c r="I1416" s="111">
        <v>372600</v>
      </c>
      <c r="J1416" s="101">
        <v>0</v>
      </c>
      <c r="K1416" s="105">
        <v>46813</v>
      </c>
    </row>
    <row r="1417" spans="1:11" s="104" customFormat="1" x14ac:dyDescent="0.3">
      <c r="A1417" s="302" t="s">
        <v>2030</v>
      </c>
      <c r="B1417" s="303"/>
      <c r="C1417" s="303"/>
      <c r="D1417" s="304"/>
      <c r="E1417" s="87"/>
      <c r="F1417" s="129">
        <f>SUM(F1415:F1416)</f>
        <v>450600</v>
      </c>
      <c r="G1417" s="129">
        <f t="shared" ref="G1417:I1417" si="130">SUM(G1415:G1416)</f>
        <v>0</v>
      </c>
      <c r="H1417" s="129">
        <f t="shared" si="130"/>
        <v>0</v>
      </c>
      <c r="I1417" s="129">
        <f t="shared" si="130"/>
        <v>450600</v>
      </c>
      <c r="J1417" s="132">
        <v>0</v>
      </c>
      <c r="K1417" s="105"/>
    </row>
    <row r="1418" spans="1:11" s="104" customFormat="1" ht="26.4" x14ac:dyDescent="0.3">
      <c r="A1418" s="87">
        <v>1224</v>
      </c>
      <c r="B1418" s="294" t="s">
        <v>2060</v>
      </c>
      <c r="C1418" s="98" t="s">
        <v>2061</v>
      </c>
      <c r="D1418" s="98" t="s">
        <v>137</v>
      </c>
      <c r="E1418" s="14" t="s">
        <v>18</v>
      </c>
      <c r="F1418" s="113">
        <v>7243200</v>
      </c>
      <c r="G1418" s="113">
        <v>1981500</v>
      </c>
      <c r="H1418" s="111">
        <v>2628000</v>
      </c>
      <c r="I1418" s="111">
        <v>2633700</v>
      </c>
      <c r="J1418" s="101">
        <v>0</v>
      </c>
      <c r="K1418" s="102" t="s">
        <v>1686</v>
      </c>
    </row>
    <row r="1419" spans="1:11" s="104" customFormat="1" ht="39.6" x14ac:dyDescent="0.3">
      <c r="A1419" s="87">
        <v>1225</v>
      </c>
      <c r="B1419" s="305"/>
      <c r="C1419" s="98" t="s">
        <v>2062</v>
      </c>
      <c r="D1419" s="98" t="s">
        <v>313</v>
      </c>
      <c r="E1419" s="14" t="s">
        <v>18</v>
      </c>
      <c r="F1419" s="113">
        <v>256500</v>
      </c>
      <c r="G1419" s="113">
        <v>256500</v>
      </c>
      <c r="H1419" s="111">
        <v>0</v>
      </c>
      <c r="I1419" s="111">
        <v>0</v>
      </c>
      <c r="J1419" s="101">
        <v>0</v>
      </c>
      <c r="K1419" s="102" t="s">
        <v>1686</v>
      </c>
    </row>
    <row r="1420" spans="1:11" s="104" customFormat="1" ht="39.6" x14ac:dyDescent="0.3">
      <c r="A1420" s="87">
        <v>1226</v>
      </c>
      <c r="B1420" s="295"/>
      <c r="C1420" s="98" t="s">
        <v>2063</v>
      </c>
      <c r="D1420" s="98" t="s">
        <v>313</v>
      </c>
      <c r="E1420" s="99" t="s">
        <v>19</v>
      </c>
      <c r="F1420" s="113">
        <v>286733.64</v>
      </c>
      <c r="G1420" s="113">
        <v>0</v>
      </c>
      <c r="H1420" s="111">
        <v>286733.64</v>
      </c>
      <c r="I1420" s="111">
        <v>0</v>
      </c>
      <c r="J1420" s="101">
        <v>0</v>
      </c>
      <c r="K1420" s="102" t="s">
        <v>1833</v>
      </c>
    </row>
    <row r="1421" spans="1:11" s="104" customFormat="1" x14ac:dyDescent="0.3">
      <c r="A1421" s="302" t="s">
        <v>2027</v>
      </c>
      <c r="B1421" s="303"/>
      <c r="C1421" s="303"/>
      <c r="D1421" s="304"/>
      <c r="E1421" s="90"/>
      <c r="F1421" s="129">
        <f>SUM(F1418:F1420)</f>
        <v>7786433.6399999997</v>
      </c>
      <c r="G1421" s="129">
        <f t="shared" ref="G1421:I1421" si="131">SUM(G1418:G1420)</f>
        <v>2238000</v>
      </c>
      <c r="H1421" s="129">
        <f t="shared" si="131"/>
        <v>2914733.64</v>
      </c>
      <c r="I1421" s="129">
        <f t="shared" si="131"/>
        <v>2633700</v>
      </c>
      <c r="J1421" s="132">
        <v>0</v>
      </c>
      <c r="K1421" s="102"/>
    </row>
    <row r="1422" spans="1:11" s="104" customFormat="1" ht="66" x14ac:dyDescent="0.3">
      <c r="A1422" s="87">
        <v>1227</v>
      </c>
      <c r="B1422" s="294" t="s">
        <v>2060</v>
      </c>
      <c r="C1422" s="106" t="s">
        <v>2064</v>
      </c>
      <c r="D1422" s="80" t="s">
        <v>323</v>
      </c>
      <c r="E1422" s="99" t="s">
        <v>19</v>
      </c>
      <c r="F1422" s="111">
        <v>45000</v>
      </c>
      <c r="G1422" s="112">
        <v>0</v>
      </c>
      <c r="H1422" s="111">
        <v>45000</v>
      </c>
      <c r="I1422" s="114">
        <v>0</v>
      </c>
      <c r="J1422" s="101">
        <v>0</v>
      </c>
      <c r="K1422" s="102" t="s">
        <v>1995</v>
      </c>
    </row>
    <row r="1423" spans="1:11" s="104" customFormat="1" ht="39.6" x14ac:dyDescent="0.3">
      <c r="A1423" s="85">
        <v>1228</v>
      </c>
      <c r="B1423" s="295"/>
      <c r="C1423" s="80" t="s">
        <v>2065</v>
      </c>
      <c r="D1423" s="115" t="s">
        <v>313</v>
      </c>
      <c r="E1423" s="99" t="s">
        <v>19</v>
      </c>
      <c r="F1423" s="111">
        <v>258683.61</v>
      </c>
      <c r="G1423" s="112">
        <v>0</v>
      </c>
      <c r="H1423" s="111">
        <v>0</v>
      </c>
      <c r="I1423" s="114">
        <v>258683.61</v>
      </c>
      <c r="J1423" s="101">
        <v>0</v>
      </c>
      <c r="K1423" s="102" t="s">
        <v>1838</v>
      </c>
    </row>
    <row r="1424" spans="1:11" s="104" customFormat="1" x14ac:dyDescent="0.3">
      <c r="A1424" s="302" t="s">
        <v>1622</v>
      </c>
      <c r="B1424" s="303"/>
      <c r="C1424" s="303"/>
      <c r="D1424" s="304"/>
      <c r="E1424" s="87"/>
      <c r="F1424" s="129">
        <f>SUM(F1422:F1423)</f>
        <v>303683.61</v>
      </c>
      <c r="G1424" s="129">
        <f t="shared" ref="G1424:I1424" si="132">SUM(G1422:G1423)</f>
        <v>0</v>
      </c>
      <c r="H1424" s="129">
        <f t="shared" si="132"/>
        <v>45000</v>
      </c>
      <c r="I1424" s="129">
        <f t="shared" si="132"/>
        <v>258683.61</v>
      </c>
      <c r="J1424" s="132">
        <v>0</v>
      </c>
      <c r="K1424" s="102"/>
    </row>
    <row r="1425" spans="1:11" s="104" customFormat="1" ht="66" x14ac:dyDescent="0.3">
      <c r="A1425" s="87">
        <v>1229</v>
      </c>
      <c r="B1425" s="87" t="s">
        <v>2060</v>
      </c>
      <c r="C1425" s="106" t="s">
        <v>2066</v>
      </c>
      <c r="D1425" s="80" t="s">
        <v>323</v>
      </c>
      <c r="E1425" s="99" t="s">
        <v>19</v>
      </c>
      <c r="F1425" s="111">
        <v>45000</v>
      </c>
      <c r="G1425" s="112">
        <v>0</v>
      </c>
      <c r="H1425" s="112">
        <v>0</v>
      </c>
      <c r="I1425" s="111">
        <v>45000</v>
      </c>
      <c r="J1425" s="101">
        <v>0</v>
      </c>
      <c r="K1425" s="102" t="s">
        <v>2067</v>
      </c>
    </row>
    <row r="1426" spans="1:11" s="104" customFormat="1" x14ac:dyDescent="0.3">
      <c r="A1426" s="302" t="s">
        <v>2030</v>
      </c>
      <c r="B1426" s="303"/>
      <c r="C1426" s="303"/>
      <c r="D1426" s="304"/>
      <c r="E1426" s="87"/>
      <c r="F1426" s="129">
        <f>SUM(F1425)</f>
        <v>45000</v>
      </c>
      <c r="G1426" s="129">
        <f t="shared" ref="G1426:I1426" si="133">SUM(G1425)</f>
        <v>0</v>
      </c>
      <c r="H1426" s="129">
        <f t="shared" si="133"/>
        <v>0</v>
      </c>
      <c r="I1426" s="129">
        <f t="shared" si="133"/>
        <v>45000</v>
      </c>
      <c r="J1426" s="132">
        <v>0</v>
      </c>
      <c r="K1426" s="102"/>
    </row>
    <row r="1427" spans="1:11" s="104" customFormat="1" ht="26.4" x14ac:dyDescent="0.3">
      <c r="A1427" s="87">
        <v>1230</v>
      </c>
      <c r="B1427" s="294" t="s">
        <v>2068</v>
      </c>
      <c r="C1427" s="98" t="s">
        <v>2069</v>
      </c>
      <c r="D1427" s="80" t="s">
        <v>137</v>
      </c>
      <c r="E1427" s="99" t="s">
        <v>19</v>
      </c>
      <c r="F1427" s="113">
        <v>10579500</v>
      </c>
      <c r="G1427" s="113">
        <v>10579500</v>
      </c>
      <c r="H1427" s="111">
        <v>0</v>
      </c>
      <c r="I1427" s="111">
        <v>0</v>
      </c>
      <c r="J1427" s="101">
        <v>0</v>
      </c>
      <c r="K1427" s="102" t="s">
        <v>1632</v>
      </c>
    </row>
    <row r="1428" spans="1:11" s="104" customFormat="1" ht="26.4" x14ac:dyDescent="0.3">
      <c r="A1428" s="87">
        <v>1231</v>
      </c>
      <c r="B1428" s="305"/>
      <c r="C1428" s="98" t="s">
        <v>2070</v>
      </c>
      <c r="D1428" s="80" t="s">
        <v>2071</v>
      </c>
      <c r="E1428" s="98" t="s">
        <v>19</v>
      </c>
      <c r="F1428" s="113">
        <v>4500000</v>
      </c>
      <c r="G1428" s="113">
        <v>4500000</v>
      </c>
      <c r="H1428" s="111">
        <v>0</v>
      </c>
      <c r="I1428" s="111">
        <v>0</v>
      </c>
      <c r="J1428" s="101">
        <v>0</v>
      </c>
      <c r="K1428" s="102" t="s">
        <v>1632</v>
      </c>
    </row>
    <row r="1429" spans="1:11" s="104" customFormat="1" ht="26.4" x14ac:dyDescent="0.3">
      <c r="A1429" s="87">
        <v>1232</v>
      </c>
      <c r="B1429" s="295"/>
      <c r="C1429" s="106" t="s">
        <v>2072</v>
      </c>
      <c r="D1429" s="80" t="s">
        <v>137</v>
      </c>
      <c r="E1429" s="98" t="s">
        <v>19</v>
      </c>
      <c r="F1429" s="113">
        <v>12000000</v>
      </c>
      <c r="G1429" s="113">
        <v>0</v>
      </c>
      <c r="H1429" s="113">
        <v>12000000</v>
      </c>
      <c r="I1429" s="111">
        <v>0</v>
      </c>
      <c r="J1429" s="101">
        <v>0</v>
      </c>
      <c r="K1429" s="105">
        <v>46357</v>
      </c>
    </row>
    <row r="1430" spans="1:11" s="104" customFormat="1" x14ac:dyDescent="0.3">
      <c r="A1430" s="296" t="s">
        <v>2027</v>
      </c>
      <c r="B1430" s="296"/>
      <c r="C1430" s="296"/>
      <c r="D1430" s="296"/>
      <c r="E1430" s="87"/>
      <c r="F1430" s="129">
        <f>SUM(F1427:F1429)</f>
        <v>27079500</v>
      </c>
      <c r="G1430" s="129">
        <f t="shared" ref="G1430:I1430" si="134">SUM(G1427:G1429)</f>
        <v>15079500</v>
      </c>
      <c r="H1430" s="129">
        <f t="shared" si="134"/>
        <v>12000000</v>
      </c>
      <c r="I1430" s="129">
        <f t="shared" si="134"/>
        <v>0</v>
      </c>
      <c r="J1430" s="132">
        <v>0</v>
      </c>
      <c r="K1430" s="105"/>
    </row>
    <row r="1431" spans="1:11" s="104" customFormat="1" ht="26.4" x14ac:dyDescent="0.3">
      <c r="A1431" s="87">
        <v>1233</v>
      </c>
      <c r="B1431" s="87" t="s">
        <v>2068</v>
      </c>
      <c r="C1431" s="106" t="s">
        <v>2073</v>
      </c>
      <c r="D1431" s="80" t="s">
        <v>2071</v>
      </c>
      <c r="E1431" s="98" t="s">
        <v>19</v>
      </c>
      <c r="F1431" s="113">
        <v>4500000</v>
      </c>
      <c r="G1431" s="112">
        <v>0</v>
      </c>
      <c r="H1431" s="112">
        <v>0</v>
      </c>
      <c r="I1431" s="113">
        <v>4500000</v>
      </c>
      <c r="J1431" s="101">
        <v>0</v>
      </c>
      <c r="K1431" s="105">
        <v>46813</v>
      </c>
    </row>
    <row r="1432" spans="1:11" s="104" customFormat="1" x14ac:dyDescent="0.3">
      <c r="A1432" s="302" t="s">
        <v>2030</v>
      </c>
      <c r="B1432" s="303"/>
      <c r="C1432" s="303"/>
      <c r="D1432" s="304"/>
      <c r="E1432" s="87"/>
      <c r="F1432" s="129">
        <f>SUM(F1431)</f>
        <v>4500000</v>
      </c>
      <c r="G1432" s="129">
        <f t="shared" ref="G1432:I1432" si="135">SUM(G1431)</f>
        <v>0</v>
      </c>
      <c r="H1432" s="129">
        <f t="shared" si="135"/>
        <v>0</v>
      </c>
      <c r="I1432" s="129">
        <f t="shared" si="135"/>
        <v>4500000</v>
      </c>
      <c r="J1432" s="132">
        <v>0</v>
      </c>
      <c r="K1432" s="105"/>
    </row>
    <row r="1433" spans="1:11" s="104" customFormat="1" ht="39.6" x14ac:dyDescent="0.3">
      <c r="A1433" s="87">
        <v>1234</v>
      </c>
      <c r="B1433" s="308" t="s">
        <v>2074</v>
      </c>
      <c r="C1433" s="98" t="s">
        <v>2075</v>
      </c>
      <c r="D1433" s="98" t="s">
        <v>2076</v>
      </c>
      <c r="E1433" s="99" t="s">
        <v>2077</v>
      </c>
      <c r="F1433" s="113">
        <v>300000</v>
      </c>
      <c r="G1433" s="113">
        <v>300000</v>
      </c>
      <c r="H1433" s="111">
        <v>0</v>
      </c>
      <c r="I1433" s="111">
        <v>0</v>
      </c>
      <c r="J1433" s="101">
        <v>0</v>
      </c>
      <c r="K1433" s="102" t="s">
        <v>1635</v>
      </c>
    </row>
    <row r="1434" spans="1:11" s="104" customFormat="1" ht="26.4" x14ac:dyDescent="0.3">
      <c r="A1434" s="87">
        <v>1235</v>
      </c>
      <c r="B1434" s="311"/>
      <c r="C1434" s="98" t="s">
        <v>2078</v>
      </c>
      <c r="D1434" s="98" t="s">
        <v>2079</v>
      </c>
      <c r="E1434" s="99" t="s">
        <v>19</v>
      </c>
      <c r="F1434" s="113">
        <v>2378629.1200000001</v>
      </c>
      <c r="G1434" s="113">
        <v>0</v>
      </c>
      <c r="H1434" s="111">
        <v>1189314.5600000001</v>
      </c>
      <c r="I1434" s="111">
        <v>1189314.5600000001</v>
      </c>
      <c r="J1434" s="101">
        <v>0</v>
      </c>
      <c r="K1434" s="102" t="s">
        <v>1692</v>
      </c>
    </row>
    <row r="1435" spans="1:11" s="104" customFormat="1" ht="26.4" x14ac:dyDescent="0.3">
      <c r="A1435" s="87">
        <v>1236</v>
      </c>
      <c r="B1435" s="311"/>
      <c r="C1435" s="98" t="s">
        <v>2080</v>
      </c>
      <c r="D1435" s="98" t="s">
        <v>137</v>
      </c>
      <c r="E1435" s="99" t="s">
        <v>19</v>
      </c>
      <c r="F1435" s="113">
        <v>11062380</v>
      </c>
      <c r="G1435" s="113">
        <v>0</v>
      </c>
      <c r="H1435" s="111">
        <v>5531190</v>
      </c>
      <c r="I1435" s="111">
        <v>5531190</v>
      </c>
      <c r="J1435" s="101">
        <v>0</v>
      </c>
      <c r="K1435" s="102" t="s">
        <v>1692</v>
      </c>
    </row>
    <row r="1436" spans="1:11" s="104" customFormat="1" ht="39.6" x14ac:dyDescent="0.3">
      <c r="A1436" s="87">
        <v>1237</v>
      </c>
      <c r="B1436" s="311"/>
      <c r="C1436" s="98" t="s">
        <v>2081</v>
      </c>
      <c r="D1436" s="98" t="s">
        <v>2082</v>
      </c>
      <c r="E1436" s="99" t="s">
        <v>19</v>
      </c>
      <c r="F1436" s="113">
        <v>69764.5</v>
      </c>
      <c r="G1436" s="113">
        <v>0</v>
      </c>
      <c r="H1436" s="113">
        <v>69764.5</v>
      </c>
      <c r="I1436" s="111">
        <v>0</v>
      </c>
      <c r="J1436" s="101">
        <v>0</v>
      </c>
      <c r="K1436" s="102" t="s">
        <v>1692</v>
      </c>
    </row>
    <row r="1437" spans="1:11" s="104" customFormat="1" ht="26.4" x14ac:dyDescent="0.3">
      <c r="A1437" s="87">
        <v>1238</v>
      </c>
      <c r="B1437" s="309"/>
      <c r="C1437" s="98" t="s">
        <v>2083</v>
      </c>
      <c r="D1437" s="98" t="s">
        <v>2084</v>
      </c>
      <c r="E1437" s="99" t="s">
        <v>19</v>
      </c>
      <c r="F1437" s="113">
        <v>37177.660000000003</v>
      </c>
      <c r="G1437" s="113">
        <v>0</v>
      </c>
      <c r="H1437" s="111">
        <v>18588.830000000002</v>
      </c>
      <c r="I1437" s="111">
        <v>18588.830000000002</v>
      </c>
      <c r="J1437" s="101">
        <v>0</v>
      </c>
      <c r="K1437" s="102" t="s">
        <v>1692</v>
      </c>
    </row>
    <row r="1438" spans="1:11" s="104" customFormat="1" x14ac:dyDescent="0.3">
      <c r="A1438" s="302" t="s">
        <v>2027</v>
      </c>
      <c r="B1438" s="303"/>
      <c r="C1438" s="303"/>
      <c r="D1438" s="304"/>
      <c r="E1438" s="90"/>
      <c r="F1438" s="131">
        <f>SUM(F1433:F1437)</f>
        <v>13847951.280000001</v>
      </c>
      <c r="G1438" s="131">
        <f>SUM(G1433:G1437)</f>
        <v>300000</v>
      </c>
      <c r="H1438" s="131">
        <f t="shared" ref="H1438:I1438" si="136">SUM(H1433:H1437)</f>
        <v>6808857.8900000006</v>
      </c>
      <c r="I1438" s="131">
        <f t="shared" si="136"/>
        <v>6739093.3900000006</v>
      </c>
      <c r="J1438" s="132">
        <v>0</v>
      </c>
      <c r="K1438" s="116"/>
    </row>
    <row r="1439" spans="1:11" s="104" customFormat="1" ht="26.4" x14ac:dyDescent="0.3">
      <c r="A1439" s="87">
        <v>1239</v>
      </c>
      <c r="B1439" s="308" t="s">
        <v>2085</v>
      </c>
      <c r="C1439" s="98" t="s">
        <v>2086</v>
      </c>
      <c r="D1439" s="98" t="s">
        <v>137</v>
      </c>
      <c r="E1439" s="14" t="s">
        <v>18</v>
      </c>
      <c r="F1439" s="113">
        <v>5220000</v>
      </c>
      <c r="G1439" s="113">
        <v>2286000</v>
      </c>
      <c r="H1439" s="111">
        <v>2934000</v>
      </c>
      <c r="I1439" s="111">
        <v>0</v>
      </c>
      <c r="J1439" s="101">
        <v>0</v>
      </c>
      <c r="K1439" s="102" t="s">
        <v>1635</v>
      </c>
    </row>
    <row r="1440" spans="1:11" s="104" customFormat="1" ht="26.4" x14ac:dyDescent="0.3">
      <c r="A1440" s="87">
        <v>1240</v>
      </c>
      <c r="B1440" s="309"/>
      <c r="C1440" s="98" t="s">
        <v>2087</v>
      </c>
      <c r="D1440" s="98" t="s">
        <v>137</v>
      </c>
      <c r="E1440" s="99" t="s">
        <v>19</v>
      </c>
      <c r="F1440" s="113">
        <v>9408123</v>
      </c>
      <c r="G1440" s="113">
        <v>0</v>
      </c>
      <c r="H1440" s="111">
        <v>4704061.5</v>
      </c>
      <c r="I1440" s="111">
        <v>4704061.5</v>
      </c>
      <c r="J1440" s="101">
        <v>0</v>
      </c>
      <c r="K1440" s="102" t="s">
        <v>1638</v>
      </c>
    </row>
    <row r="1441" spans="1:11" s="104" customFormat="1" x14ac:dyDescent="0.3">
      <c r="A1441" s="302" t="s">
        <v>2027</v>
      </c>
      <c r="B1441" s="303"/>
      <c r="C1441" s="303"/>
      <c r="D1441" s="304"/>
      <c r="E1441" s="90"/>
      <c r="F1441" s="129">
        <f>SUM(F1439:F1440)</f>
        <v>14628123</v>
      </c>
      <c r="G1441" s="129">
        <f>G1439+G1440</f>
        <v>2286000</v>
      </c>
      <c r="H1441" s="129">
        <f>SUM(H1439+H1440)</f>
        <v>7638061.5</v>
      </c>
      <c r="I1441" s="133">
        <f>SUM(I1440)</f>
        <v>4704061.5</v>
      </c>
      <c r="J1441" s="132">
        <v>0</v>
      </c>
      <c r="K1441" s="105"/>
    </row>
    <row r="1442" spans="1:11" s="104" customFormat="1" ht="26.4" x14ac:dyDescent="0.3">
      <c r="A1442" s="87">
        <v>1241</v>
      </c>
      <c r="B1442" s="308" t="s">
        <v>2088</v>
      </c>
      <c r="C1442" s="98" t="s">
        <v>2089</v>
      </c>
      <c r="D1442" s="87" t="s">
        <v>2090</v>
      </c>
      <c r="E1442" s="99" t="s">
        <v>19</v>
      </c>
      <c r="F1442" s="113">
        <v>7591270.4000000004</v>
      </c>
      <c r="G1442" s="113">
        <v>0</v>
      </c>
      <c r="H1442" s="111">
        <v>3795635.2</v>
      </c>
      <c r="I1442" s="111">
        <v>3795635.2</v>
      </c>
      <c r="J1442" s="101">
        <v>0</v>
      </c>
      <c r="K1442" s="102" t="s">
        <v>1833</v>
      </c>
    </row>
    <row r="1443" spans="1:11" s="104" customFormat="1" ht="39.6" x14ac:dyDescent="0.3">
      <c r="A1443" s="87">
        <v>1242</v>
      </c>
      <c r="B1443" s="311"/>
      <c r="C1443" s="98" t="s">
        <v>2091</v>
      </c>
      <c r="D1443" s="98" t="s">
        <v>2092</v>
      </c>
      <c r="E1443" s="99" t="s">
        <v>19</v>
      </c>
      <c r="F1443" s="113">
        <v>1245612.46</v>
      </c>
      <c r="G1443" s="113">
        <v>1245612.46</v>
      </c>
      <c r="H1443" s="111">
        <v>0</v>
      </c>
      <c r="I1443" s="111">
        <v>0</v>
      </c>
      <c r="J1443" s="101">
        <v>0</v>
      </c>
      <c r="K1443" s="102" t="s">
        <v>1635</v>
      </c>
    </row>
    <row r="1444" spans="1:11" s="104" customFormat="1" ht="39.6" x14ac:dyDescent="0.3">
      <c r="A1444" s="87">
        <v>1243</v>
      </c>
      <c r="B1444" s="309"/>
      <c r="C1444" s="98" t="s">
        <v>2093</v>
      </c>
      <c r="D1444" s="98" t="s">
        <v>2094</v>
      </c>
      <c r="E1444" s="99" t="s">
        <v>19</v>
      </c>
      <c r="F1444" s="113">
        <v>3100000</v>
      </c>
      <c r="G1444" s="113">
        <v>3100000</v>
      </c>
      <c r="H1444" s="111">
        <v>0</v>
      </c>
      <c r="I1444" s="111">
        <v>0</v>
      </c>
      <c r="J1444" s="101">
        <v>0</v>
      </c>
      <c r="K1444" s="102" t="s">
        <v>1632</v>
      </c>
    </row>
    <row r="1445" spans="1:11" s="104" customFormat="1" x14ac:dyDescent="0.3">
      <c r="A1445" s="302" t="s">
        <v>2027</v>
      </c>
      <c r="B1445" s="303"/>
      <c r="C1445" s="303"/>
      <c r="D1445" s="304"/>
      <c r="E1445" s="90"/>
      <c r="F1445" s="129">
        <f>SUM(F1442:F1444)</f>
        <v>11936882.859999999</v>
      </c>
      <c r="G1445" s="129">
        <f t="shared" ref="G1445:I1445" si="137">SUM(G1442:G1444)</f>
        <v>4345612.46</v>
      </c>
      <c r="H1445" s="129">
        <f t="shared" si="137"/>
        <v>3795635.2</v>
      </c>
      <c r="I1445" s="129">
        <f t="shared" si="137"/>
        <v>3795635.2</v>
      </c>
      <c r="J1445" s="132">
        <v>0</v>
      </c>
      <c r="K1445" s="105"/>
    </row>
    <row r="1446" spans="1:11" s="104" customFormat="1" ht="26.4" x14ac:dyDescent="0.3">
      <c r="A1446" s="87">
        <v>1244</v>
      </c>
      <c r="B1446" s="306" t="s">
        <v>2095</v>
      </c>
      <c r="C1446" s="98" t="s">
        <v>2096</v>
      </c>
      <c r="D1446" s="98" t="s">
        <v>2052</v>
      </c>
      <c r="E1446" s="99" t="s">
        <v>19</v>
      </c>
      <c r="F1446" s="113">
        <v>740591</v>
      </c>
      <c r="G1446" s="113">
        <v>0</v>
      </c>
      <c r="H1446" s="111">
        <v>740591</v>
      </c>
      <c r="I1446" s="111">
        <v>0</v>
      </c>
      <c r="J1446" s="101">
        <v>0</v>
      </c>
      <c r="K1446" s="102" t="s">
        <v>1661</v>
      </c>
    </row>
    <row r="1447" spans="1:11" s="104" customFormat="1" ht="22.5" customHeight="1" x14ac:dyDescent="0.3">
      <c r="A1447" s="87">
        <v>1245</v>
      </c>
      <c r="B1447" s="310"/>
      <c r="C1447" s="98" t="s">
        <v>2097</v>
      </c>
      <c r="D1447" s="98" t="s">
        <v>591</v>
      </c>
      <c r="E1447" s="99" t="s">
        <v>19</v>
      </c>
      <c r="F1447" s="113">
        <v>166400</v>
      </c>
      <c r="G1447" s="113">
        <v>166400</v>
      </c>
      <c r="H1447" s="111">
        <v>0</v>
      </c>
      <c r="I1447" s="111">
        <v>0</v>
      </c>
      <c r="J1447" s="101">
        <v>0</v>
      </c>
      <c r="K1447" s="102" t="s">
        <v>1635</v>
      </c>
    </row>
    <row r="1448" spans="1:11" s="104" customFormat="1" ht="66" x14ac:dyDescent="0.3">
      <c r="A1448" s="87">
        <v>1246</v>
      </c>
      <c r="B1448" s="307"/>
      <c r="C1448" s="98" t="s">
        <v>2098</v>
      </c>
      <c r="D1448" s="98" t="s">
        <v>323</v>
      </c>
      <c r="E1448" s="99" t="s">
        <v>19</v>
      </c>
      <c r="F1448" s="113">
        <v>58471</v>
      </c>
      <c r="G1448" s="113">
        <v>0</v>
      </c>
      <c r="H1448" s="113">
        <v>58471</v>
      </c>
      <c r="I1448" s="111">
        <v>0</v>
      </c>
      <c r="J1448" s="101">
        <v>0</v>
      </c>
      <c r="K1448" s="102" t="s">
        <v>1836</v>
      </c>
    </row>
    <row r="1449" spans="1:11" s="104" customFormat="1" x14ac:dyDescent="0.3">
      <c r="A1449" s="302" t="s">
        <v>2027</v>
      </c>
      <c r="B1449" s="303"/>
      <c r="C1449" s="303"/>
      <c r="D1449" s="304"/>
      <c r="E1449" s="90"/>
      <c r="F1449" s="129">
        <f>SUM(F1446:F1448)</f>
        <v>965462</v>
      </c>
      <c r="G1449" s="129">
        <f>G1446+G1447+G1448+G1450</f>
        <v>166400</v>
      </c>
      <c r="H1449" s="129">
        <f>H1446+H1447+H1448+H1450</f>
        <v>799062</v>
      </c>
      <c r="I1449" s="129">
        <v>0</v>
      </c>
      <c r="J1449" s="132">
        <v>0</v>
      </c>
      <c r="K1449" s="105"/>
    </row>
    <row r="1450" spans="1:11" s="104" customFormat="1" ht="26.4" x14ac:dyDescent="0.3">
      <c r="A1450" s="87">
        <v>1247</v>
      </c>
      <c r="B1450" s="117" t="s">
        <v>2095</v>
      </c>
      <c r="C1450" s="98" t="s">
        <v>2099</v>
      </c>
      <c r="D1450" s="98" t="s">
        <v>591</v>
      </c>
      <c r="E1450" s="99" t="s">
        <v>19</v>
      </c>
      <c r="F1450" s="113">
        <v>166400</v>
      </c>
      <c r="G1450" s="113">
        <v>0</v>
      </c>
      <c r="H1450" s="111">
        <v>0</v>
      </c>
      <c r="I1450" s="113">
        <v>166400</v>
      </c>
      <c r="J1450" s="101">
        <v>0</v>
      </c>
      <c r="K1450" s="102" t="s">
        <v>1672</v>
      </c>
    </row>
    <row r="1451" spans="1:11" s="104" customFormat="1" x14ac:dyDescent="0.3">
      <c r="A1451" s="302" t="s">
        <v>1622</v>
      </c>
      <c r="B1451" s="303"/>
      <c r="C1451" s="303"/>
      <c r="D1451" s="304"/>
      <c r="E1451" s="87"/>
      <c r="F1451" s="111">
        <f>SUM(F1450)</f>
        <v>166400</v>
      </c>
      <c r="G1451" s="111">
        <f t="shared" ref="G1451:I1451" si="138">SUM(G1450)</f>
        <v>0</v>
      </c>
      <c r="H1451" s="111">
        <f t="shared" si="138"/>
        <v>0</v>
      </c>
      <c r="I1451" s="111">
        <f t="shared" si="138"/>
        <v>166400</v>
      </c>
      <c r="J1451" s="101">
        <v>0</v>
      </c>
      <c r="K1451" s="105"/>
    </row>
    <row r="1452" spans="1:11" s="104" customFormat="1" ht="26.4" x14ac:dyDescent="0.3">
      <c r="A1452" s="87">
        <v>1248</v>
      </c>
      <c r="B1452" s="87" t="s">
        <v>2100</v>
      </c>
      <c r="C1452" s="98" t="s">
        <v>2101</v>
      </c>
      <c r="D1452" s="98" t="s">
        <v>2102</v>
      </c>
      <c r="E1452" s="99" t="s">
        <v>19</v>
      </c>
      <c r="F1452" s="113">
        <v>9987100</v>
      </c>
      <c r="G1452" s="113">
        <v>9987100</v>
      </c>
      <c r="H1452" s="111">
        <v>0</v>
      </c>
      <c r="I1452" s="111">
        <v>0</v>
      </c>
      <c r="J1452" s="101">
        <v>0</v>
      </c>
      <c r="K1452" s="102" t="s">
        <v>1635</v>
      </c>
    </row>
    <row r="1453" spans="1:11" s="104" customFormat="1" x14ac:dyDescent="0.3">
      <c r="A1453" s="302" t="s">
        <v>2027</v>
      </c>
      <c r="B1453" s="303"/>
      <c r="C1453" s="303"/>
      <c r="D1453" s="304"/>
      <c r="E1453" s="90"/>
      <c r="F1453" s="129">
        <f>SUM(F1452:F1452)</f>
        <v>9987100</v>
      </c>
      <c r="G1453" s="129">
        <f>SUM(G1452:G1452)</f>
        <v>9987100</v>
      </c>
      <c r="H1453" s="129">
        <f>SUM(H1452:H1452)</f>
        <v>0</v>
      </c>
      <c r="I1453" s="129">
        <f>SUM(I1452:I1452)</f>
        <v>0</v>
      </c>
      <c r="J1453" s="129">
        <f>SUM(J1452:J1452)</f>
        <v>0</v>
      </c>
      <c r="K1453" s="105"/>
    </row>
    <row r="1454" spans="1:11" s="104" customFormat="1" ht="26.4" x14ac:dyDescent="0.3">
      <c r="A1454" s="87">
        <v>1249</v>
      </c>
      <c r="B1454" s="294" t="s">
        <v>2103</v>
      </c>
      <c r="C1454" s="98" t="s">
        <v>2104</v>
      </c>
      <c r="D1454" s="98" t="s">
        <v>2052</v>
      </c>
      <c r="E1454" s="98" t="s">
        <v>19</v>
      </c>
      <c r="F1454" s="113">
        <v>783187.15</v>
      </c>
      <c r="G1454" s="113">
        <v>0</v>
      </c>
      <c r="H1454" s="113">
        <v>783187.15</v>
      </c>
      <c r="I1454" s="111">
        <v>0</v>
      </c>
      <c r="J1454" s="101">
        <v>0</v>
      </c>
      <c r="K1454" s="102" t="s">
        <v>1661</v>
      </c>
    </row>
    <row r="1455" spans="1:11" s="104" customFormat="1" ht="26.4" x14ac:dyDescent="0.3">
      <c r="A1455" s="87">
        <v>1250</v>
      </c>
      <c r="B1455" s="305"/>
      <c r="C1455" s="98" t="s">
        <v>2105</v>
      </c>
      <c r="D1455" s="98" t="s">
        <v>358</v>
      </c>
      <c r="E1455" s="98" t="s">
        <v>19</v>
      </c>
      <c r="F1455" s="113">
        <v>5000000</v>
      </c>
      <c r="G1455" s="113">
        <v>5000000</v>
      </c>
      <c r="H1455" s="111">
        <v>0</v>
      </c>
      <c r="I1455" s="111">
        <v>0</v>
      </c>
      <c r="J1455" s="101">
        <v>0</v>
      </c>
      <c r="K1455" s="102" t="s">
        <v>1632</v>
      </c>
    </row>
    <row r="1456" spans="1:11" s="104" customFormat="1" ht="26.4" x14ac:dyDescent="0.3">
      <c r="A1456" s="85">
        <v>1251</v>
      </c>
      <c r="B1456" s="295"/>
      <c r="C1456" s="98" t="s">
        <v>2106</v>
      </c>
      <c r="D1456" s="98" t="s">
        <v>137</v>
      </c>
      <c r="E1456" s="98" t="s">
        <v>19</v>
      </c>
      <c r="F1456" s="113">
        <v>9851666</v>
      </c>
      <c r="G1456" s="113">
        <v>0</v>
      </c>
      <c r="H1456" s="111">
        <v>5140000</v>
      </c>
      <c r="I1456" s="111">
        <v>4711666</v>
      </c>
      <c r="J1456" s="101">
        <v>0</v>
      </c>
      <c r="K1456" s="102" t="s">
        <v>1661</v>
      </c>
    </row>
    <row r="1457" spans="1:11" s="104" customFormat="1" x14ac:dyDescent="0.3">
      <c r="A1457" s="302" t="s">
        <v>2027</v>
      </c>
      <c r="B1457" s="303"/>
      <c r="C1457" s="303"/>
      <c r="D1457" s="304"/>
      <c r="E1457" s="90"/>
      <c r="F1457" s="129">
        <f>SUM(F1454:F1456)</f>
        <v>15634853.15</v>
      </c>
      <c r="G1457" s="129">
        <f t="shared" ref="G1457:I1457" si="139">SUM(G1454:G1456)</f>
        <v>5000000</v>
      </c>
      <c r="H1457" s="129">
        <f t="shared" si="139"/>
        <v>5923187.1500000004</v>
      </c>
      <c r="I1457" s="129">
        <f t="shared" si="139"/>
        <v>4711666</v>
      </c>
      <c r="J1457" s="132">
        <v>0</v>
      </c>
      <c r="K1457" s="105"/>
    </row>
    <row r="1458" spans="1:11" s="104" customFormat="1" ht="26.4" x14ac:dyDescent="0.3">
      <c r="A1458" s="87">
        <v>1252</v>
      </c>
      <c r="B1458" s="294" t="s">
        <v>2103</v>
      </c>
      <c r="C1458" s="98" t="s">
        <v>2107</v>
      </c>
      <c r="D1458" s="98" t="s">
        <v>182</v>
      </c>
      <c r="E1458" s="98" t="s">
        <v>19</v>
      </c>
      <c r="F1458" s="113">
        <v>600000</v>
      </c>
      <c r="G1458" s="113">
        <v>0</v>
      </c>
      <c r="H1458" s="111">
        <v>600000</v>
      </c>
      <c r="I1458" s="111">
        <v>0</v>
      </c>
      <c r="J1458" s="101">
        <v>0</v>
      </c>
      <c r="K1458" s="102" t="s">
        <v>1672</v>
      </c>
    </row>
    <row r="1459" spans="1:11" s="104" customFormat="1" ht="26.4" x14ac:dyDescent="0.3">
      <c r="A1459" s="85">
        <v>1253</v>
      </c>
      <c r="B1459" s="305"/>
      <c r="C1459" s="98" t="s">
        <v>2108</v>
      </c>
      <c r="D1459" s="98" t="s">
        <v>2052</v>
      </c>
      <c r="E1459" s="98" t="s">
        <v>19</v>
      </c>
      <c r="F1459" s="113">
        <v>783187.15</v>
      </c>
      <c r="G1459" s="113">
        <v>0</v>
      </c>
      <c r="H1459" s="111">
        <v>0</v>
      </c>
      <c r="I1459" s="113">
        <v>783187.15</v>
      </c>
      <c r="J1459" s="101">
        <v>0</v>
      </c>
      <c r="K1459" s="102" t="s">
        <v>1804</v>
      </c>
    </row>
    <row r="1460" spans="1:11" s="104" customFormat="1" ht="39.6" x14ac:dyDescent="0.3">
      <c r="A1460" s="87">
        <v>1254</v>
      </c>
      <c r="B1460" s="295"/>
      <c r="C1460" s="98" t="s">
        <v>2109</v>
      </c>
      <c r="D1460" s="98" t="s">
        <v>2110</v>
      </c>
      <c r="E1460" s="98" t="s">
        <v>19</v>
      </c>
      <c r="F1460" s="113">
        <v>1950000</v>
      </c>
      <c r="G1460" s="113">
        <v>0</v>
      </c>
      <c r="H1460" s="113">
        <v>1950000</v>
      </c>
      <c r="I1460" s="111">
        <v>0</v>
      </c>
      <c r="J1460" s="101">
        <v>0</v>
      </c>
      <c r="K1460" s="102" t="s">
        <v>1672</v>
      </c>
    </row>
    <row r="1461" spans="1:11" s="104" customFormat="1" x14ac:dyDescent="0.3">
      <c r="A1461" s="302" t="s">
        <v>1622</v>
      </c>
      <c r="B1461" s="303"/>
      <c r="C1461" s="303"/>
      <c r="D1461" s="304"/>
      <c r="E1461" s="87"/>
      <c r="F1461" s="129">
        <f>SUM(F1458:F1460)</f>
        <v>3333187.15</v>
      </c>
      <c r="G1461" s="129">
        <f t="shared" ref="G1461:I1461" si="140">SUM(G1458:G1460)</f>
        <v>0</v>
      </c>
      <c r="H1461" s="129">
        <f t="shared" si="140"/>
        <v>2550000</v>
      </c>
      <c r="I1461" s="129">
        <f t="shared" si="140"/>
        <v>783187.15</v>
      </c>
      <c r="J1461" s="132">
        <v>0</v>
      </c>
      <c r="K1461" s="105"/>
    </row>
    <row r="1462" spans="1:11" s="104" customFormat="1" ht="26.4" x14ac:dyDescent="0.3">
      <c r="A1462" s="87">
        <v>1255</v>
      </c>
      <c r="B1462" s="87" t="s">
        <v>2103</v>
      </c>
      <c r="C1462" s="98" t="s">
        <v>2111</v>
      </c>
      <c r="D1462" s="98" t="s">
        <v>358</v>
      </c>
      <c r="E1462" s="98" t="s">
        <v>19</v>
      </c>
      <c r="F1462" s="113">
        <v>4800000</v>
      </c>
      <c r="G1462" s="113">
        <v>0</v>
      </c>
      <c r="H1462" s="111">
        <v>0</v>
      </c>
      <c r="I1462" s="113">
        <v>4800000</v>
      </c>
      <c r="J1462" s="101">
        <v>0</v>
      </c>
      <c r="K1462" s="102" t="s">
        <v>1674</v>
      </c>
    </row>
    <row r="1463" spans="1:11" s="104" customFormat="1" x14ac:dyDescent="0.3">
      <c r="A1463" s="302" t="s">
        <v>2030</v>
      </c>
      <c r="B1463" s="303"/>
      <c r="C1463" s="303"/>
      <c r="D1463" s="304"/>
      <c r="E1463" s="87"/>
      <c r="F1463" s="129">
        <f>SUM(F1462)</f>
        <v>4800000</v>
      </c>
      <c r="G1463" s="129">
        <f t="shared" ref="G1463:I1463" si="141">SUM(G1462)</f>
        <v>0</v>
      </c>
      <c r="H1463" s="129">
        <f t="shared" si="141"/>
        <v>0</v>
      </c>
      <c r="I1463" s="129">
        <f t="shared" si="141"/>
        <v>4800000</v>
      </c>
      <c r="J1463" s="132">
        <v>0</v>
      </c>
      <c r="K1463" s="105"/>
    </row>
    <row r="1464" spans="1:11" s="104" customFormat="1" ht="39.6" x14ac:dyDescent="0.3">
      <c r="A1464" s="87">
        <v>1256</v>
      </c>
      <c r="B1464" s="294" t="s">
        <v>2112</v>
      </c>
      <c r="C1464" s="98" t="s">
        <v>2113</v>
      </c>
      <c r="D1464" s="98" t="s">
        <v>313</v>
      </c>
      <c r="E1464" s="99" t="s">
        <v>19</v>
      </c>
      <c r="F1464" s="113">
        <v>849719</v>
      </c>
      <c r="G1464" s="113">
        <v>849719</v>
      </c>
      <c r="H1464" s="111">
        <v>0</v>
      </c>
      <c r="I1464" s="111">
        <v>0</v>
      </c>
      <c r="J1464" s="101">
        <v>0</v>
      </c>
      <c r="K1464" s="102" t="s">
        <v>1632</v>
      </c>
    </row>
    <row r="1465" spans="1:11" s="104" customFormat="1" ht="52.8" x14ac:dyDescent="0.3">
      <c r="A1465" s="87">
        <v>1257</v>
      </c>
      <c r="B1465" s="305"/>
      <c r="C1465" s="98" t="s">
        <v>2114</v>
      </c>
      <c r="D1465" s="98" t="s">
        <v>2115</v>
      </c>
      <c r="E1465" s="99" t="s">
        <v>19</v>
      </c>
      <c r="F1465" s="113">
        <v>2666000</v>
      </c>
      <c r="G1465" s="113">
        <f>F1465</f>
        <v>2666000</v>
      </c>
      <c r="H1465" s="111">
        <v>0</v>
      </c>
      <c r="I1465" s="111">
        <v>0</v>
      </c>
      <c r="J1465" s="101">
        <v>0</v>
      </c>
      <c r="K1465" s="102" t="s">
        <v>1632</v>
      </c>
    </row>
    <row r="1466" spans="1:11" s="104" customFormat="1" ht="22.5" customHeight="1" x14ac:dyDescent="0.3">
      <c r="A1466" s="87">
        <v>1258</v>
      </c>
      <c r="B1466" s="305"/>
      <c r="C1466" s="98" t="s">
        <v>2116</v>
      </c>
      <c r="D1466" s="98" t="s">
        <v>1666</v>
      </c>
      <c r="E1466" s="99" t="s">
        <v>19</v>
      </c>
      <c r="F1466" s="113">
        <v>3635028</v>
      </c>
      <c r="G1466" s="113">
        <f>F1466</f>
        <v>3635028</v>
      </c>
      <c r="H1466" s="111">
        <v>0</v>
      </c>
      <c r="I1466" s="111">
        <v>0</v>
      </c>
      <c r="J1466" s="101">
        <v>0</v>
      </c>
      <c r="K1466" s="102" t="s">
        <v>1632</v>
      </c>
    </row>
    <row r="1467" spans="1:11" s="104" customFormat="1" ht="22.5" customHeight="1" x14ac:dyDescent="0.3">
      <c r="A1467" s="87">
        <v>1259</v>
      </c>
      <c r="B1467" s="305"/>
      <c r="C1467" s="98" t="s">
        <v>2117</v>
      </c>
      <c r="D1467" s="98" t="s">
        <v>367</v>
      </c>
      <c r="E1467" s="99" t="s">
        <v>19</v>
      </c>
      <c r="F1467" s="113">
        <v>5155927.54</v>
      </c>
      <c r="G1467" s="113">
        <f>F1467</f>
        <v>5155927.54</v>
      </c>
      <c r="H1467" s="111">
        <v>0</v>
      </c>
      <c r="I1467" s="111">
        <v>0</v>
      </c>
      <c r="J1467" s="101">
        <v>0</v>
      </c>
      <c r="K1467" s="102" t="s">
        <v>1632</v>
      </c>
    </row>
    <row r="1468" spans="1:11" s="104" customFormat="1" ht="22.5" customHeight="1" x14ac:dyDescent="0.3">
      <c r="A1468" s="87">
        <v>1260</v>
      </c>
      <c r="B1468" s="305"/>
      <c r="C1468" s="98" t="s">
        <v>2118</v>
      </c>
      <c r="D1468" s="98" t="s">
        <v>137</v>
      </c>
      <c r="E1468" s="99" t="s">
        <v>19</v>
      </c>
      <c r="F1468" s="113">
        <v>6000000</v>
      </c>
      <c r="G1468" s="113">
        <v>0</v>
      </c>
      <c r="H1468" s="111">
        <v>3000000</v>
      </c>
      <c r="I1468" s="111">
        <v>3000000</v>
      </c>
      <c r="J1468" s="101">
        <v>0</v>
      </c>
      <c r="K1468" s="102" t="s">
        <v>1632</v>
      </c>
    </row>
    <row r="1469" spans="1:11" s="104" customFormat="1" ht="39.6" x14ac:dyDescent="0.3">
      <c r="A1469" s="87">
        <v>1261</v>
      </c>
      <c r="B1469" s="295"/>
      <c r="C1469" s="98" t="s">
        <v>2119</v>
      </c>
      <c r="D1469" s="98" t="s">
        <v>911</v>
      </c>
      <c r="E1469" s="99" t="s">
        <v>19</v>
      </c>
      <c r="F1469" s="113">
        <v>975000</v>
      </c>
      <c r="G1469" s="113">
        <v>975000</v>
      </c>
      <c r="H1469" s="111">
        <v>0</v>
      </c>
      <c r="I1469" s="111">
        <v>0</v>
      </c>
      <c r="J1469" s="101">
        <v>0</v>
      </c>
      <c r="K1469" s="102" t="s">
        <v>1635</v>
      </c>
    </row>
    <row r="1470" spans="1:11" s="104" customFormat="1" x14ac:dyDescent="0.3">
      <c r="A1470" s="302" t="s">
        <v>2027</v>
      </c>
      <c r="B1470" s="303"/>
      <c r="C1470" s="303"/>
      <c r="D1470" s="304"/>
      <c r="E1470" s="90"/>
      <c r="F1470" s="129">
        <f>SUM(F1464:F1469)</f>
        <v>19281674.539999999</v>
      </c>
      <c r="G1470" s="129">
        <f t="shared" ref="G1470:J1480" si="142">SUM(G1464:G1469)</f>
        <v>13281674.539999999</v>
      </c>
      <c r="H1470" s="129">
        <f t="shared" si="142"/>
        <v>3000000</v>
      </c>
      <c r="I1470" s="129">
        <f t="shared" si="142"/>
        <v>3000000</v>
      </c>
      <c r="J1470" s="111">
        <f t="shared" si="142"/>
        <v>0</v>
      </c>
      <c r="K1470" s="105"/>
    </row>
    <row r="1471" spans="1:11" s="104" customFormat="1" ht="66" x14ac:dyDescent="0.3">
      <c r="A1471" s="87">
        <v>1262</v>
      </c>
      <c r="B1471" s="294" t="s">
        <v>2120</v>
      </c>
      <c r="C1471" s="98" t="s">
        <v>2121</v>
      </c>
      <c r="D1471" s="98" t="s">
        <v>323</v>
      </c>
      <c r="E1471" s="99" t="s">
        <v>19</v>
      </c>
      <c r="F1471" s="113">
        <v>35000</v>
      </c>
      <c r="G1471" s="113">
        <v>35000</v>
      </c>
      <c r="H1471" s="111">
        <v>0</v>
      </c>
      <c r="I1471" s="111">
        <v>0</v>
      </c>
      <c r="J1471" s="111">
        <f t="shared" si="142"/>
        <v>0</v>
      </c>
      <c r="K1471" s="102" t="s">
        <v>1635</v>
      </c>
    </row>
    <row r="1472" spans="1:11" s="104" customFormat="1" ht="26.4" x14ac:dyDescent="0.3">
      <c r="A1472" s="87">
        <v>1263</v>
      </c>
      <c r="B1472" s="295"/>
      <c r="C1472" s="98" t="s">
        <v>2122</v>
      </c>
      <c r="D1472" s="98" t="s">
        <v>137</v>
      </c>
      <c r="E1472" s="99" t="s">
        <v>19</v>
      </c>
      <c r="F1472" s="113">
        <v>9636310</v>
      </c>
      <c r="G1472" s="113">
        <v>0</v>
      </c>
      <c r="H1472" s="111">
        <v>5027640</v>
      </c>
      <c r="I1472" s="111">
        <v>4608670</v>
      </c>
      <c r="J1472" s="111">
        <f t="shared" si="142"/>
        <v>0</v>
      </c>
      <c r="K1472" s="102" t="s">
        <v>1661</v>
      </c>
    </row>
    <row r="1473" spans="1:11" s="104" customFormat="1" x14ac:dyDescent="0.3">
      <c r="A1473" s="302" t="s">
        <v>1622</v>
      </c>
      <c r="B1473" s="303"/>
      <c r="C1473" s="303"/>
      <c r="D1473" s="304"/>
      <c r="E1473" s="90"/>
      <c r="F1473" s="129">
        <f>SUM(F1471:F1472)</f>
        <v>9671310</v>
      </c>
      <c r="G1473" s="129">
        <f t="shared" ref="G1473:I1473" si="143">SUM(G1471:G1472)</f>
        <v>35000</v>
      </c>
      <c r="H1473" s="129">
        <f t="shared" si="143"/>
        <v>5027640</v>
      </c>
      <c r="I1473" s="129">
        <f t="shared" si="143"/>
        <v>4608670</v>
      </c>
      <c r="J1473" s="129">
        <f t="shared" si="142"/>
        <v>0</v>
      </c>
      <c r="K1473" s="105"/>
    </row>
    <row r="1474" spans="1:11" s="104" customFormat="1" ht="26.4" x14ac:dyDescent="0.3">
      <c r="A1474" s="87">
        <v>1264</v>
      </c>
      <c r="B1474" s="87" t="s">
        <v>2120</v>
      </c>
      <c r="C1474" s="98" t="s">
        <v>2123</v>
      </c>
      <c r="D1474" s="98" t="s">
        <v>182</v>
      </c>
      <c r="E1474" s="99" t="s">
        <v>19</v>
      </c>
      <c r="F1474" s="113">
        <v>200000</v>
      </c>
      <c r="G1474" s="113">
        <v>0</v>
      </c>
      <c r="H1474" s="111">
        <v>200000</v>
      </c>
      <c r="I1474" s="111">
        <v>0</v>
      </c>
      <c r="J1474" s="111">
        <f t="shared" si="142"/>
        <v>0</v>
      </c>
      <c r="K1474" s="102" t="s">
        <v>1672</v>
      </c>
    </row>
    <row r="1475" spans="1:11" s="104" customFormat="1" x14ac:dyDescent="0.3">
      <c r="A1475" s="302" t="s">
        <v>2027</v>
      </c>
      <c r="B1475" s="303"/>
      <c r="C1475" s="303"/>
      <c r="D1475" s="304"/>
      <c r="E1475" s="99"/>
      <c r="F1475" s="131">
        <f>SUM(F1474)</f>
        <v>200000</v>
      </c>
      <c r="G1475" s="131">
        <f t="shared" ref="G1475:I1475" si="144">SUM(G1474)</f>
        <v>0</v>
      </c>
      <c r="H1475" s="131">
        <f t="shared" si="144"/>
        <v>200000</v>
      </c>
      <c r="I1475" s="131">
        <f t="shared" si="144"/>
        <v>0</v>
      </c>
      <c r="J1475" s="111">
        <f t="shared" si="142"/>
        <v>0</v>
      </c>
      <c r="K1475" s="102"/>
    </row>
    <row r="1476" spans="1:11" s="104" customFormat="1" ht="39.6" x14ac:dyDescent="0.3">
      <c r="A1476" s="87">
        <v>1265</v>
      </c>
      <c r="B1476" s="87" t="s">
        <v>2120</v>
      </c>
      <c r="C1476" s="98" t="s">
        <v>2124</v>
      </c>
      <c r="D1476" s="98" t="s">
        <v>182</v>
      </c>
      <c r="E1476" s="99" t="s">
        <v>19</v>
      </c>
      <c r="F1476" s="113">
        <v>200000</v>
      </c>
      <c r="G1476" s="118">
        <v>0</v>
      </c>
      <c r="H1476" s="119">
        <v>0</v>
      </c>
      <c r="I1476" s="120">
        <v>200000</v>
      </c>
      <c r="J1476" s="111">
        <f t="shared" si="142"/>
        <v>0</v>
      </c>
      <c r="K1476" s="102" t="s">
        <v>1674</v>
      </c>
    </row>
    <row r="1477" spans="1:11" s="104" customFormat="1" x14ac:dyDescent="0.3">
      <c r="A1477" s="302" t="s">
        <v>2030</v>
      </c>
      <c r="B1477" s="303"/>
      <c r="C1477" s="303"/>
      <c r="D1477" s="304"/>
      <c r="E1477" s="121"/>
      <c r="F1477" s="130">
        <f>SUM(F1476)</f>
        <v>200000</v>
      </c>
      <c r="G1477" s="130">
        <f t="shared" ref="G1477:I1477" si="145">SUM(G1476)</f>
        <v>0</v>
      </c>
      <c r="H1477" s="130">
        <f t="shared" si="145"/>
        <v>0</v>
      </c>
      <c r="I1477" s="130">
        <f t="shared" si="145"/>
        <v>200000</v>
      </c>
      <c r="J1477" s="111">
        <f t="shared" si="142"/>
        <v>0</v>
      </c>
      <c r="K1477" s="122"/>
    </row>
    <row r="1478" spans="1:11" s="104" customFormat="1" ht="26.4" x14ac:dyDescent="0.3">
      <c r="A1478" s="87">
        <v>1266</v>
      </c>
      <c r="B1478" s="294" t="s">
        <v>2125</v>
      </c>
      <c r="C1478" s="98" t="s">
        <v>2126</v>
      </c>
      <c r="D1478" s="98" t="s">
        <v>137</v>
      </c>
      <c r="E1478" s="99" t="s">
        <v>19</v>
      </c>
      <c r="F1478" s="113">
        <v>5418400</v>
      </c>
      <c r="G1478" s="113">
        <v>0</v>
      </c>
      <c r="H1478" s="111">
        <v>2709200</v>
      </c>
      <c r="I1478" s="111">
        <v>2709200</v>
      </c>
      <c r="J1478" s="111">
        <f t="shared" si="142"/>
        <v>0</v>
      </c>
      <c r="K1478" s="102" t="s">
        <v>1661</v>
      </c>
    </row>
    <row r="1479" spans="1:11" s="104" customFormat="1" ht="26.4" x14ac:dyDescent="0.3">
      <c r="A1479" s="87">
        <v>1267</v>
      </c>
      <c r="B1479" s="295"/>
      <c r="C1479" s="98" t="s">
        <v>2127</v>
      </c>
      <c r="D1479" s="98" t="s">
        <v>358</v>
      </c>
      <c r="E1479" s="99" t="s">
        <v>19</v>
      </c>
      <c r="F1479" s="113">
        <v>3000000</v>
      </c>
      <c r="G1479" s="113">
        <v>3000000</v>
      </c>
      <c r="H1479" s="111">
        <v>0</v>
      </c>
      <c r="I1479" s="111">
        <v>0</v>
      </c>
      <c r="J1479" s="111">
        <f t="shared" si="142"/>
        <v>0</v>
      </c>
      <c r="K1479" s="102" t="s">
        <v>1635</v>
      </c>
    </row>
    <row r="1480" spans="1:11" s="104" customFormat="1" x14ac:dyDescent="0.3">
      <c r="A1480" s="302" t="s">
        <v>2027</v>
      </c>
      <c r="B1480" s="303"/>
      <c r="C1480" s="303"/>
      <c r="D1480" s="304"/>
      <c r="E1480" s="90"/>
      <c r="F1480" s="129">
        <f>SUM(F1478:F1479)</f>
        <v>8418400</v>
      </c>
      <c r="G1480" s="129">
        <f>SUM(G1478:G1479)</f>
        <v>3000000</v>
      </c>
      <c r="H1480" s="129">
        <f>SUM(H1478:H1479)</f>
        <v>2709200</v>
      </c>
      <c r="I1480" s="129">
        <f>SUM(I1478:I1479)</f>
        <v>2709200</v>
      </c>
      <c r="J1480" s="111">
        <f t="shared" si="142"/>
        <v>0</v>
      </c>
      <c r="K1480" s="102"/>
    </row>
    <row r="1481" spans="1:11" s="104" customFormat="1" ht="26.4" x14ac:dyDescent="0.3">
      <c r="A1481" s="87">
        <v>1268</v>
      </c>
      <c r="B1481" s="294" t="s">
        <v>2128</v>
      </c>
      <c r="C1481" s="98" t="s">
        <v>2129</v>
      </c>
      <c r="D1481" s="98" t="s">
        <v>182</v>
      </c>
      <c r="E1481" s="99" t="s">
        <v>19</v>
      </c>
      <c r="F1481" s="113">
        <v>350000</v>
      </c>
      <c r="G1481" s="113">
        <v>350000</v>
      </c>
      <c r="H1481" s="111">
        <v>0</v>
      </c>
      <c r="I1481" s="111">
        <v>0</v>
      </c>
      <c r="J1481" s="111">
        <f>SUM(J1479:J1480)</f>
        <v>0</v>
      </c>
      <c r="K1481" s="102" t="s">
        <v>1632</v>
      </c>
    </row>
    <row r="1482" spans="1:11" s="104" customFormat="1" ht="26.4" x14ac:dyDescent="0.3">
      <c r="A1482" s="87">
        <v>1269</v>
      </c>
      <c r="B1482" s="295"/>
      <c r="C1482" s="98" t="s">
        <v>2130</v>
      </c>
      <c r="D1482" s="98" t="s">
        <v>137</v>
      </c>
      <c r="E1482" s="99" t="s">
        <v>19</v>
      </c>
      <c r="F1482" s="113">
        <v>14057448</v>
      </c>
      <c r="G1482" s="113">
        <v>2052000</v>
      </c>
      <c r="H1482" s="111">
        <v>6002724</v>
      </c>
      <c r="I1482" s="111">
        <v>6002724</v>
      </c>
      <c r="J1482" s="111">
        <f>SUM(J1480:J1481)</f>
        <v>0</v>
      </c>
      <c r="K1482" s="102" t="s">
        <v>1632</v>
      </c>
    </row>
    <row r="1483" spans="1:11" s="104" customFormat="1" x14ac:dyDescent="0.3">
      <c r="A1483" s="302" t="s">
        <v>2027</v>
      </c>
      <c r="B1483" s="303"/>
      <c r="C1483" s="303"/>
      <c r="D1483" s="304"/>
      <c r="E1483" s="90"/>
      <c r="F1483" s="129">
        <f>SUM(F1481:F1482)</f>
        <v>14407448</v>
      </c>
      <c r="G1483" s="129">
        <f t="shared" ref="G1483:I1483" si="146">SUM(G1481:G1482)</f>
        <v>2402000</v>
      </c>
      <c r="H1483" s="129">
        <f t="shared" si="146"/>
        <v>6002724</v>
      </c>
      <c r="I1483" s="129">
        <f t="shared" si="146"/>
        <v>6002724</v>
      </c>
      <c r="J1483" s="111">
        <f>SUM(J1481:J1482)</f>
        <v>0</v>
      </c>
      <c r="K1483" s="105"/>
    </row>
    <row r="1484" spans="1:11" s="104" customFormat="1" ht="26.4" x14ac:dyDescent="0.3">
      <c r="A1484" s="87">
        <v>1270</v>
      </c>
      <c r="B1484" s="87" t="s">
        <v>2131</v>
      </c>
      <c r="C1484" s="98" t="s">
        <v>2132</v>
      </c>
      <c r="D1484" s="98" t="s">
        <v>137</v>
      </c>
      <c r="E1484" s="99" t="s">
        <v>19</v>
      </c>
      <c r="F1484" s="111">
        <v>7105369.3200000003</v>
      </c>
      <c r="G1484" s="112">
        <v>3101338.59</v>
      </c>
      <c r="H1484" s="111">
        <v>4004030.73</v>
      </c>
      <c r="I1484" s="114">
        <v>0</v>
      </c>
      <c r="J1484" s="111">
        <f>SUM(J1483:J1483)</f>
        <v>0</v>
      </c>
      <c r="K1484" s="102" t="s">
        <v>1686</v>
      </c>
    </row>
    <row r="1485" spans="1:11" s="104" customFormat="1" ht="39.6" x14ac:dyDescent="0.3">
      <c r="A1485" s="87">
        <v>1271</v>
      </c>
      <c r="B1485" s="87" t="s">
        <v>2131</v>
      </c>
      <c r="C1485" s="98" t="s">
        <v>2133</v>
      </c>
      <c r="D1485" s="98" t="s">
        <v>2082</v>
      </c>
      <c r="E1485" s="99" t="s">
        <v>19</v>
      </c>
      <c r="F1485" s="111">
        <v>794900</v>
      </c>
      <c r="G1485" s="112">
        <v>0</v>
      </c>
      <c r="H1485" s="111">
        <v>257829.91</v>
      </c>
      <c r="I1485" s="114">
        <v>537070.09</v>
      </c>
      <c r="J1485" s="111">
        <f>SUM(J1484:J1484)</f>
        <v>0</v>
      </c>
      <c r="K1485" s="102" t="s">
        <v>1661</v>
      </c>
    </row>
    <row r="1486" spans="1:11" s="104" customFormat="1" x14ac:dyDescent="0.3">
      <c r="A1486" s="302" t="s">
        <v>2027</v>
      </c>
      <c r="B1486" s="303"/>
      <c r="C1486" s="303"/>
      <c r="D1486" s="304"/>
      <c r="E1486" s="90"/>
      <c r="F1486" s="129">
        <f>SUM(F1484:F1485)</f>
        <v>7900269.3200000003</v>
      </c>
      <c r="G1486" s="129">
        <f>SUM(G1484:G1485)</f>
        <v>3101338.59</v>
      </c>
      <c r="H1486" s="129">
        <f>SUM(H1484:H1485)</f>
        <v>4261860.6399999997</v>
      </c>
      <c r="I1486" s="129">
        <f>SUM(I1484:I1485)</f>
        <v>537070.09</v>
      </c>
      <c r="J1486" s="111">
        <f t="shared" ref="J1486:J1519" si="147">SUM(J1484:J1485)</f>
        <v>0</v>
      </c>
      <c r="K1486" s="102"/>
    </row>
    <row r="1487" spans="1:11" s="104" customFormat="1" ht="26.4" x14ac:dyDescent="0.3">
      <c r="A1487" s="87">
        <v>1272</v>
      </c>
      <c r="B1487" s="294" t="s">
        <v>2134</v>
      </c>
      <c r="C1487" s="98" t="s">
        <v>2135</v>
      </c>
      <c r="D1487" s="98" t="s">
        <v>137</v>
      </c>
      <c r="E1487" s="99" t="s">
        <v>19</v>
      </c>
      <c r="F1487" s="113">
        <v>4602150</v>
      </c>
      <c r="G1487" s="113">
        <v>1750</v>
      </c>
      <c r="H1487" s="111">
        <v>2300200</v>
      </c>
      <c r="I1487" s="111">
        <v>2300200</v>
      </c>
      <c r="J1487" s="111">
        <f t="shared" si="147"/>
        <v>0</v>
      </c>
      <c r="K1487" s="102" t="s">
        <v>1632</v>
      </c>
    </row>
    <row r="1488" spans="1:11" s="104" customFormat="1" ht="26.4" x14ac:dyDescent="0.3">
      <c r="A1488" s="87">
        <v>1273</v>
      </c>
      <c r="B1488" s="295"/>
      <c r="C1488" s="98" t="s">
        <v>2136</v>
      </c>
      <c r="D1488" s="98" t="s">
        <v>182</v>
      </c>
      <c r="E1488" s="99" t="s">
        <v>19</v>
      </c>
      <c r="F1488" s="113">
        <v>750000</v>
      </c>
      <c r="G1488" s="113">
        <v>750000</v>
      </c>
      <c r="H1488" s="111">
        <v>0</v>
      </c>
      <c r="I1488" s="111">
        <v>0</v>
      </c>
      <c r="J1488" s="111">
        <f t="shared" si="147"/>
        <v>0</v>
      </c>
      <c r="K1488" s="102" t="s">
        <v>1635</v>
      </c>
    </row>
    <row r="1489" spans="1:11" s="104" customFormat="1" x14ac:dyDescent="0.3">
      <c r="A1489" s="302" t="s">
        <v>2027</v>
      </c>
      <c r="B1489" s="303"/>
      <c r="C1489" s="303"/>
      <c r="D1489" s="304"/>
      <c r="E1489" s="90"/>
      <c r="F1489" s="129">
        <f>SUM(F1487:F1488)</f>
        <v>5352150</v>
      </c>
      <c r="G1489" s="129">
        <f t="shared" ref="G1489:I1489" si="148">SUM(G1487:G1488)</f>
        <v>751750</v>
      </c>
      <c r="H1489" s="129">
        <f t="shared" si="148"/>
        <v>2300200</v>
      </c>
      <c r="I1489" s="129">
        <f t="shared" si="148"/>
        <v>2300200</v>
      </c>
      <c r="J1489" s="111">
        <f t="shared" si="147"/>
        <v>0</v>
      </c>
      <c r="K1489" s="105"/>
    </row>
    <row r="1490" spans="1:11" s="104" customFormat="1" ht="26.4" x14ac:dyDescent="0.3">
      <c r="A1490" s="87">
        <v>1274</v>
      </c>
      <c r="B1490" s="87" t="s">
        <v>2134</v>
      </c>
      <c r="C1490" s="106" t="s">
        <v>2137</v>
      </c>
      <c r="D1490" s="80" t="s">
        <v>182</v>
      </c>
      <c r="E1490" s="90" t="s">
        <v>19</v>
      </c>
      <c r="F1490" s="111">
        <v>750000</v>
      </c>
      <c r="G1490" s="112">
        <v>0</v>
      </c>
      <c r="H1490" s="111">
        <v>750000</v>
      </c>
      <c r="I1490" s="114">
        <v>0</v>
      </c>
      <c r="J1490" s="111">
        <f t="shared" si="147"/>
        <v>0</v>
      </c>
      <c r="K1490" s="105">
        <v>46419</v>
      </c>
    </row>
    <row r="1491" spans="1:11" s="104" customFormat="1" x14ac:dyDescent="0.3">
      <c r="A1491" s="302" t="s">
        <v>1622</v>
      </c>
      <c r="B1491" s="303"/>
      <c r="C1491" s="303"/>
      <c r="D1491" s="304"/>
      <c r="E1491" s="87"/>
      <c r="F1491" s="129">
        <f>F1490</f>
        <v>750000</v>
      </c>
      <c r="G1491" s="129">
        <f>G1490</f>
        <v>0</v>
      </c>
      <c r="H1491" s="129">
        <f>H1490</f>
        <v>750000</v>
      </c>
      <c r="I1491" s="129">
        <v>0</v>
      </c>
      <c r="J1491" s="111">
        <f t="shared" si="147"/>
        <v>0</v>
      </c>
      <c r="K1491" s="105"/>
    </row>
    <row r="1492" spans="1:11" s="104" customFormat="1" ht="26.4" x14ac:dyDescent="0.3">
      <c r="A1492" s="87">
        <v>1275</v>
      </c>
      <c r="B1492" s="87" t="s">
        <v>2134</v>
      </c>
      <c r="C1492" s="106" t="s">
        <v>2138</v>
      </c>
      <c r="D1492" s="80" t="s">
        <v>182</v>
      </c>
      <c r="E1492" s="87" t="s">
        <v>19</v>
      </c>
      <c r="F1492" s="111">
        <v>750000</v>
      </c>
      <c r="G1492" s="112">
        <v>0</v>
      </c>
      <c r="H1492" s="112">
        <v>0</v>
      </c>
      <c r="I1492" s="111">
        <v>750000</v>
      </c>
      <c r="J1492" s="111">
        <f t="shared" si="147"/>
        <v>0</v>
      </c>
      <c r="K1492" s="105">
        <v>46784</v>
      </c>
    </row>
    <row r="1493" spans="1:11" s="104" customFormat="1" x14ac:dyDescent="0.3">
      <c r="A1493" s="302" t="s">
        <v>2030</v>
      </c>
      <c r="B1493" s="303"/>
      <c r="C1493" s="303"/>
      <c r="D1493" s="304"/>
      <c r="E1493" s="87"/>
      <c r="F1493" s="129">
        <f>SUM(F1492)</f>
        <v>750000</v>
      </c>
      <c r="G1493" s="129">
        <f t="shared" ref="G1493:I1493" si="149">SUM(G1492)</f>
        <v>0</v>
      </c>
      <c r="H1493" s="129">
        <f t="shared" si="149"/>
        <v>0</v>
      </c>
      <c r="I1493" s="129">
        <f t="shared" si="149"/>
        <v>750000</v>
      </c>
      <c r="J1493" s="111">
        <f t="shared" si="147"/>
        <v>0</v>
      </c>
      <c r="K1493" s="105"/>
    </row>
    <row r="1494" spans="1:11" s="104" customFormat="1" ht="26.4" x14ac:dyDescent="0.3">
      <c r="A1494" s="87">
        <v>1276</v>
      </c>
      <c r="B1494" s="294" t="s">
        <v>2139</v>
      </c>
      <c r="C1494" s="98" t="s">
        <v>2140</v>
      </c>
      <c r="D1494" s="98" t="s">
        <v>591</v>
      </c>
      <c r="E1494" s="99" t="s">
        <v>19</v>
      </c>
      <c r="F1494" s="111">
        <v>250000</v>
      </c>
      <c r="G1494" s="111">
        <v>250000</v>
      </c>
      <c r="H1494" s="111">
        <v>0</v>
      </c>
      <c r="I1494" s="114">
        <v>0</v>
      </c>
      <c r="J1494" s="111">
        <f t="shared" si="147"/>
        <v>0</v>
      </c>
      <c r="K1494" s="102" t="s">
        <v>1635</v>
      </c>
    </row>
    <row r="1495" spans="1:11" s="104" customFormat="1" ht="26.4" x14ac:dyDescent="0.3">
      <c r="A1495" s="87">
        <v>1277</v>
      </c>
      <c r="B1495" s="295"/>
      <c r="C1495" s="98" t="s">
        <v>2141</v>
      </c>
      <c r="D1495" s="98" t="s">
        <v>137</v>
      </c>
      <c r="E1495" s="99" t="s">
        <v>19</v>
      </c>
      <c r="F1495" s="111">
        <v>2030400</v>
      </c>
      <c r="G1495" s="111">
        <v>2030400</v>
      </c>
      <c r="H1495" s="111">
        <v>0</v>
      </c>
      <c r="I1495" s="114">
        <v>0</v>
      </c>
      <c r="J1495" s="111">
        <f t="shared" si="147"/>
        <v>0</v>
      </c>
      <c r="K1495" s="102" t="s">
        <v>1635</v>
      </c>
    </row>
    <row r="1496" spans="1:11" s="104" customFormat="1" x14ac:dyDescent="0.3">
      <c r="A1496" s="302" t="s">
        <v>2027</v>
      </c>
      <c r="B1496" s="303"/>
      <c r="C1496" s="303"/>
      <c r="D1496" s="304"/>
      <c r="E1496" s="90"/>
      <c r="F1496" s="129">
        <f>SUM(F1494:F1495)</f>
        <v>2280400</v>
      </c>
      <c r="G1496" s="129">
        <f t="shared" ref="G1496:I1496" si="150">SUM(G1494:G1495)</f>
        <v>2280400</v>
      </c>
      <c r="H1496" s="129">
        <f t="shared" si="150"/>
        <v>0</v>
      </c>
      <c r="I1496" s="129">
        <f t="shared" si="150"/>
        <v>0</v>
      </c>
      <c r="J1496" s="111">
        <f t="shared" si="147"/>
        <v>0</v>
      </c>
      <c r="K1496" s="102"/>
    </row>
    <row r="1497" spans="1:11" s="104" customFormat="1" ht="26.4" x14ac:dyDescent="0.3">
      <c r="A1497" s="87">
        <v>1278</v>
      </c>
      <c r="B1497" s="87" t="s">
        <v>2139</v>
      </c>
      <c r="C1497" s="106" t="s">
        <v>2142</v>
      </c>
      <c r="D1497" s="80" t="s">
        <v>137</v>
      </c>
      <c r="E1497" s="99" t="s">
        <v>19</v>
      </c>
      <c r="F1497" s="111">
        <v>4060800</v>
      </c>
      <c r="G1497" s="111">
        <v>0</v>
      </c>
      <c r="H1497" s="111">
        <v>2030400</v>
      </c>
      <c r="I1497" s="111">
        <v>2030400</v>
      </c>
      <c r="J1497" s="111">
        <f t="shared" si="147"/>
        <v>0</v>
      </c>
      <c r="K1497" s="102" t="s">
        <v>1747</v>
      </c>
    </row>
    <row r="1498" spans="1:11" s="104" customFormat="1" x14ac:dyDescent="0.3">
      <c r="A1498" s="302" t="s">
        <v>1622</v>
      </c>
      <c r="B1498" s="303"/>
      <c r="C1498" s="303"/>
      <c r="D1498" s="304"/>
      <c r="E1498" s="87"/>
      <c r="F1498" s="129">
        <f>SUM(F1497)</f>
        <v>4060800</v>
      </c>
      <c r="G1498" s="129">
        <f t="shared" ref="G1498:I1498" si="151">SUM(G1497)</f>
        <v>0</v>
      </c>
      <c r="H1498" s="129">
        <f t="shared" si="151"/>
        <v>2030400</v>
      </c>
      <c r="I1498" s="129">
        <f t="shared" si="151"/>
        <v>2030400</v>
      </c>
      <c r="J1498" s="111">
        <f t="shared" si="147"/>
        <v>0</v>
      </c>
      <c r="K1498" s="102"/>
    </row>
    <row r="1499" spans="1:11" s="104" customFormat="1" ht="26.4" x14ac:dyDescent="0.3">
      <c r="A1499" s="87">
        <v>1279</v>
      </c>
      <c r="B1499" s="294" t="s">
        <v>2143</v>
      </c>
      <c r="C1499" s="98" t="s">
        <v>2144</v>
      </c>
      <c r="D1499" s="98" t="s">
        <v>182</v>
      </c>
      <c r="E1499" s="99" t="s">
        <v>19</v>
      </c>
      <c r="F1499" s="113">
        <v>2200000</v>
      </c>
      <c r="G1499" s="113">
        <v>1100000</v>
      </c>
      <c r="H1499" s="111">
        <v>1100000</v>
      </c>
      <c r="I1499" s="111">
        <v>0</v>
      </c>
      <c r="J1499" s="111">
        <f t="shared" si="147"/>
        <v>0</v>
      </c>
      <c r="K1499" s="102" t="s">
        <v>1632</v>
      </c>
    </row>
    <row r="1500" spans="1:11" s="104" customFormat="1" ht="39.6" x14ac:dyDescent="0.3">
      <c r="A1500" s="87">
        <v>1280</v>
      </c>
      <c r="B1500" s="295"/>
      <c r="C1500" s="98" t="s">
        <v>2145</v>
      </c>
      <c r="D1500" s="98" t="s">
        <v>911</v>
      </c>
      <c r="E1500" s="99" t="s">
        <v>19</v>
      </c>
      <c r="F1500" s="113">
        <v>2600000</v>
      </c>
      <c r="G1500" s="113">
        <v>1300000</v>
      </c>
      <c r="H1500" s="111">
        <v>1300000</v>
      </c>
      <c r="I1500" s="111">
        <v>0</v>
      </c>
      <c r="J1500" s="111">
        <f t="shared" si="147"/>
        <v>0</v>
      </c>
      <c r="K1500" s="102" t="s">
        <v>1632</v>
      </c>
    </row>
    <row r="1501" spans="1:11" s="104" customFormat="1" x14ac:dyDescent="0.3">
      <c r="A1501" s="302" t="s">
        <v>2027</v>
      </c>
      <c r="B1501" s="303"/>
      <c r="C1501" s="303"/>
      <c r="D1501" s="304"/>
      <c r="E1501" s="90"/>
      <c r="F1501" s="129">
        <f>SUM(F1499:F1500)</f>
        <v>4800000</v>
      </c>
      <c r="G1501" s="129">
        <f t="shared" ref="G1501:I1501" si="152">SUM(G1499:G1500)</f>
        <v>2400000</v>
      </c>
      <c r="H1501" s="129">
        <f t="shared" si="152"/>
        <v>2400000</v>
      </c>
      <c r="I1501" s="129">
        <f t="shared" si="152"/>
        <v>0</v>
      </c>
      <c r="J1501" s="129">
        <f t="shared" si="147"/>
        <v>0</v>
      </c>
      <c r="K1501" s="105"/>
    </row>
    <row r="1502" spans="1:11" s="104" customFormat="1" ht="26.4" x14ac:dyDescent="0.3">
      <c r="A1502" s="87">
        <v>1281</v>
      </c>
      <c r="B1502" s="87" t="s">
        <v>2143</v>
      </c>
      <c r="C1502" s="98" t="s">
        <v>2146</v>
      </c>
      <c r="D1502" s="98" t="s">
        <v>137</v>
      </c>
      <c r="E1502" s="99" t="s">
        <v>19</v>
      </c>
      <c r="F1502" s="113">
        <v>1000000</v>
      </c>
      <c r="G1502" s="113">
        <v>0</v>
      </c>
      <c r="H1502" s="111">
        <v>0</v>
      </c>
      <c r="I1502" s="113">
        <v>1000000</v>
      </c>
      <c r="J1502" s="111">
        <f t="shared" si="147"/>
        <v>0</v>
      </c>
      <c r="K1502" s="102" t="s">
        <v>2147</v>
      </c>
    </row>
    <row r="1503" spans="1:11" s="104" customFormat="1" x14ac:dyDescent="0.3">
      <c r="A1503" s="302" t="s">
        <v>1622</v>
      </c>
      <c r="B1503" s="303"/>
      <c r="C1503" s="303"/>
      <c r="D1503" s="304"/>
      <c r="E1503" s="87"/>
      <c r="F1503" s="129">
        <f>SUM(F1502)</f>
        <v>1000000</v>
      </c>
      <c r="G1503" s="129">
        <f t="shared" ref="G1503:I1503" si="153">SUM(G1502)</f>
        <v>0</v>
      </c>
      <c r="H1503" s="129">
        <f t="shared" si="153"/>
        <v>0</v>
      </c>
      <c r="I1503" s="129">
        <f t="shared" si="153"/>
        <v>1000000</v>
      </c>
      <c r="J1503" s="111">
        <f t="shared" si="147"/>
        <v>0</v>
      </c>
      <c r="K1503" s="105"/>
    </row>
    <row r="1504" spans="1:11" s="104" customFormat="1" ht="26.4" x14ac:dyDescent="0.3">
      <c r="A1504" s="87">
        <v>1282</v>
      </c>
      <c r="B1504" s="308" t="s">
        <v>2148</v>
      </c>
      <c r="C1504" s="80" t="s">
        <v>2149</v>
      </c>
      <c r="D1504" s="80" t="s">
        <v>137</v>
      </c>
      <c r="E1504" s="87" t="s">
        <v>19</v>
      </c>
      <c r="F1504" s="111">
        <v>5283960</v>
      </c>
      <c r="G1504" s="112">
        <v>2641980</v>
      </c>
      <c r="H1504" s="111">
        <v>2641980</v>
      </c>
      <c r="I1504" s="111">
        <v>0</v>
      </c>
      <c r="J1504" s="111">
        <f t="shared" si="147"/>
        <v>0</v>
      </c>
      <c r="K1504" s="105">
        <v>46082</v>
      </c>
    </row>
    <row r="1505" spans="1:11" s="104" customFormat="1" ht="26.4" x14ac:dyDescent="0.3">
      <c r="A1505" s="87">
        <v>1283</v>
      </c>
      <c r="B1505" s="309"/>
      <c r="C1505" s="80" t="s">
        <v>2150</v>
      </c>
      <c r="D1505" s="80" t="s">
        <v>358</v>
      </c>
      <c r="E1505" s="87" t="s">
        <v>19</v>
      </c>
      <c r="F1505" s="111">
        <v>2971886.47</v>
      </c>
      <c r="G1505" s="112">
        <v>2971886.47</v>
      </c>
      <c r="H1505" s="111">
        <v>0</v>
      </c>
      <c r="I1505" s="111">
        <v>0</v>
      </c>
      <c r="J1505" s="111">
        <f>SUM(J1504:J1504)</f>
        <v>0</v>
      </c>
      <c r="K1505" s="105">
        <v>46082</v>
      </c>
    </row>
    <row r="1506" spans="1:11" s="104" customFormat="1" x14ac:dyDescent="0.3">
      <c r="A1506" s="302" t="s">
        <v>2027</v>
      </c>
      <c r="B1506" s="303"/>
      <c r="C1506" s="303"/>
      <c r="D1506" s="304"/>
      <c r="E1506" s="90"/>
      <c r="F1506" s="129">
        <f>SUM(F1504:F1505)</f>
        <v>8255846.4700000007</v>
      </c>
      <c r="G1506" s="129">
        <f t="shared" ref="G1506:I1506" si="154">SUM(G1504:G1505)</f>
        <v>5613866.4700000007</v>
      </c>
      <c r="H1506" s="129">
        <f t="shared" si="154"/>
        <v>2641980</v>
      </c>
      <c r="I1506" s="129">
        <f t="shared" si="154"/>
        <v>0</v>
      </c>
      <c r="J1506" s="111">
        <f t="shared" si="147"/>
        <v>0</v>
      </c>
      <c r="K1506" s="105"/>
    </row>
    <row r="1507" spans="1:11" s="104" customFormat="1" ht="26.4" x14ac:dyDescent="0.3">
      <c r="A1507" s="87">
        <v>1284</v>
      </c>
      <c r="B1507" s="102" t="s">
        <v>2148</v>
      </c>
      <c r="C1507" s="106" t="s">
        <v>2151</v>
      </c>
      <c r="D1507" s="80" t="s">
        <v>358</v>
      </c>
      <c r="E1507" s="90" t="s">
        <v>19</v>
      </c>
      <c r="F1507" s="111">
        <v>2971886.47</v>
      </c>
      <c r="G1507" s="112">
        <v>0</v>
      </c>
      <c r="H1507" s="111">
        <v>2971886.47</v>
      </c>
      <c r="I1507" s="114">
        <v>0</v>
      </c>
      <c r="J1507" s="111">
        <f t="shared" si="147"/>
        <v>0</v>
      </c>
      <c r="K1507" s="105">
        <v>46447</v>
      </c>
    </row>
    <row r="1508" spans="1:11" s="104" customFormat="1" x14ac:dyDescent="0.3">
      <c r="A1508" s="302" t="s">
        <v>1622</v>
      </c>
      <c r="B1508" s="303"/>
      <c r="C1508" s="303"/>
      <c r="D1508" s="304"/>
      <c r="E1508" s="87"/>
      <c r="F1508" s="129">
        <f>SUM(F1507)</f>
        <v>2971886.47</v>
      </c>
      <c r="G1508" s="129">
        <f t="shared" ref="G1508:I1508" si="155">SUM(G1507)</f>
        <v>0</v>
      </c>
      <c r="H1508" s="129">
        <f t="shared" si="155"/>
        <v>2971886.47</v>
      </c>
      <c r="I1508" s="129">
        <f t="shared" si="155"/>
        <v>0</v>
      </c>
      <c r="J1508" s="111">
        <f t="shared" si="147"/>
        <v>0</v>
      </c>
      <c r="K1508" s="105"/>
    </row>
    <row r="1509" spans="1:11" s="104" customFormat="1" ht="26.4" x14ac:dyDescent="0.3">
      <c r="A1509" s="87">
        <v>1285</v>
      </c>
      <c r="B1509" s="102" t="s">
        <v>2148</v>
      </c>
      <c r="C1509" s="80" t="s">
        <v>2152</v>
      </c>
      <c r="D1509" s="80" t="s">
        <v>358</v>
      </c>
      <c r="E1509" s="98" t="s">
        <v>19</v>
      </c>
      <c r="F1509" s="111">
        <v>2971886.47</v>
      </c>
      <c r="G1509" s="112">
        <v>0</v>
      </c>
      <c r="H1509" s="112">
        <v>0</v>
      </c>
      <c r="I1509" s="111">
        <v>2971886.47</v>
      </c>
      <c r="J1509" s="111">
        <f t="shared" si="147"/>
        <v>0</v>
      </c>
      <c r="K1509" s="105">
        <v>46813</v>
      </c>
    </row>
    <row r="1510" spans="1:11" s="104" customFormat="1" x14ac:dyDescent="0.3">
      <c r="A1510" s="296" t="s">
        <v>2030</v>
      </c>
      <c r="B1510" s="296"/>
      <c r="C1510" s="296"/>
      <c r="D1510" s="296"/>
      <c r="E1510" s="87"/>
      <c r="F1510" s="129">
        <f>SUM(F1509)</f>
        <v>2971886.47</v>
      </c>
      <c r="G1510" s="129">
        <f t="shared" ref="G1510:I1510" si="156">SUM(G1509)</f>
        <v>0</v>
      </c>
      <c r="H1510" s="129">
        <f t="shared" si="156"/>
        <v>0</v>
      </c>
      <c r="I1510" s="129">
        <f t="shared" si="156"/>
        <v>2971886.47</v>
      </c>
      <c r="J1510" s="111">
        <f t="shared" si="147"/>
        <v>0</v>
      </c>
      <c r="K1510" s="105"/>
    </row>
    <row r="1511" spans="1:11" s="104" customFormat="1" ht="26.4" x14ac:dyDescent="0.3">
      <c r="A1511" s="87">
        <v>1286</v>
      </c>
      <c r="B1511" s="294" t="s">
        <v>2153</v>
      </c>
      <c r="C1511" s="98" t="s">
        <v>2154</v>
      </c>
      <c r="D1511" s="98" t="s">
        <v>182</v>
      </c>
      <c r="E1511" s="99" t="s">
        <v>19</v>
      </c>
      <c r="F1511" s="111">
        <v>750000</v>
      </c>
      <c r="G1511" s="111">
        <v>750000</v>
      </c>
      <c r="H1511" s="111">
        <v>0</v>
      </c>
      <c r="I1511" s="114">
        <v>0</v>
      </c>
      <c r="J1511" s="111">
        <f t="shared" si="147"/>
        <v>0</v>
      </c>
      <c r="K1511" s="102" t="s">
        <v>1635</v>
      </c>
    </row>
    <row r="1512" spans="1:11" s="104" customFormat="1" ht="26.4" x14ac:dyDescent="0.3">
      <c r="A1512" s="87">
        <v>1287</v>
      </c>
      <c r="B1512" s="295"/>
      <c r="C1512" s="98" t="s">
        <v>2155</v>
      </c>
      <c r="D1512" s="98" t="s">
        <v>137</v>
      </c>
      <c r="E1512" s="99" t="s">
        <v>19</v>
      </c>
      <c r="F1512" s="111">
        <v>8736000</v>
      </c>
      <c r="G1512" s="112">
        <v>0</v>
      </c>
      <c r="H1512" s="111">
        <v>4368000</v>
      </c>
      <c r="I1512" s="114">
        <v>4368000</v>
      </c>
      <c r="J1512" s="111">
        <f t="shared" si="147"/>
        <v>0</v>
      </c>
      <c r="K1512" s="102" t="s">
        <v>1692</v>
      </c>
    </row>
    <row r="1513" spans="1:11" s="104" customFormat="1" x14ac:dyDescent="0.3">
      <c r="A1513" s="302" t="s">
        <v>2027</v>
      </c>
      <c r="B1513" s="303"/>
      <c r="C1513" s="303"/>
      <c r="D1513" s="304"/>
      <c r="E1513" s="90"/>
      <c r="F1513" s="129">
        <f>SUM(F1511:F1512)</f>
        <v>9486000</v>
      </c>
      <c r="G1513" s="129">
        <f t="shared" ref="G1513:I1513" si="157">SUM(G1511:G1512)</f>
        <v>750000</v>
      </c>
      <c r="H1513" s="129">
        <f t="shared" si="157"/>
        <v>4368000</v>
      </c>
      <c r="I1513" s="129">
        <f t="shared" si="157"/>
        <v>4368000</v>
      </c>
      <c r="J1513" s="111">
        <f t="shared" si="147"/>
        <v>0</v>
      </c>
      <c r="K1513" s="102"/>
    </row>
    <row r="1514" spans="1:11" s="104" customFormat="1" ht="26.4" x14ac:dyDescent="0.3">
      <c r="A1514" s="87">
        <v>1288</v>
      </c>
      <c r="B1514" s="294" t="s">
        <v>2156</v>
      </c>
      <c r="C1514" s="98" t="s">
        <v>2157</v>
      </c>
      <c r="D1514" s="98" t="s">
        <v>182</v>
      </c>
      <c r="E1514" s="99" t="s">
        <v>19</v>
      </c>
      <c r="F1514" s="113">
        <v>585000</v>
      </c>
      <c r="G1514" s="113">
        <v>585000</v>
      </c>
      <c r="H1514" s="111">
        <v>0</v>
      </c>
      <c r="I1514" s="111">
        <v>0</v>
      </c>
      <c r="J1514" s="111">
        <f t="shared" si="147"/>
        <v>0</v>
      </c>
      <c r="K1514" s="102" t="s">
        <v>1635</v>
      </c>
    </row>
    <row r="1515" spans="1:11" s="104" customFormat="1" ht="26.4" x14ac:dyDescent="0.3">
      <c r="A1515" s="87">
        <v>1289</v>
      </c>
      <c r="B1515" s="305"/>
      <c r="C1515" s="98" t="s">
        <v>2158</v>
      </c>
      <c r="D1515" s="98" t="s">
        <v>137</v>
      </c>
      <c r="E1515" s="99" t="s">
        <v>19</v>
      </c>
      <c r="F1515" s="113">
        <v>3063000</v>
      </c>
      <c r="G1515" s="113">
        <v>3063000</v>
      </c>
      <c r="H1515" s="111">
        <v>0</v>
      </c>
      <c r="I1515" s="111">
        <v>0</v>
      </c>
      <c r="J1515" s="111">
        <f t="shared" si="147"/>
        <v>0</v>
      </c>
      <c r="K1515" s="102" t="s">
        <v>1686</v>
      </c>
    </row>
    <row r="1516" spans="1:11" s="104" customFormat="1" ht="26.4" x14ac:dyDescent="0.3">
      <c r="A1516" s="87">
        <v>1290</v>
      </c>
      <c r="B1516" s="295"/>
      <c r="C1516" s="98" t="s">
        <v>2159</v>
      </c>
      <c r="D1516" s="98" t="s">
        <v>137</v>
      </c>
      <c r="E1516" s="99" t="s">
        <v>19</v>
      </c>
      <c r="F1516" s="113">
        <v>18522000</v>
      </c>
      <c r="G1516" s="113">
        <v>0</v>
      </c>
      <c r="H1516" s="111">
        <v>9261000</v>
      </c>
      <c r="I1516" s="111">
        <v>9261000</v>
      </c>
      <c r="J1516" s="111">
        <f t="shared" si="147"/>
        <v>0</v>
      </c>
      <c r="K1516" s="102" t="s">
        <v>1836</v>
      </c>
    </row>
    <row r="1517" spans="1:11" s="104" customFormat="1" x14ac:dyDescent="0.3">
      <c r="A1517" s="302" t="s">
        <v>2027</v>
      </c>
      <c r="B1517" s="303"/>
      <c r="C1517" s="303"/>
      <c r="D1517" s="304"/>
      <c r="E1517" s="90"/>
      <c r="F1517" s="129">
        <f>SUM(F1514:F1516)</f>
        <v>22170000</v>
      </c>
      <c r="G1517" s="129">
        <f t="shared" ref="G1517:I1517" si="158">SUM(G1514:G1516)</f>
        <v>3648000</v>
      </c>
      <c r="H1517" s="129">
        <f t="shared" si="158"/>
        <v>9261000</v>
      </c>
      <c r="I1517" s="129">
        <f t="shared" si="158"/>
        <v>9261000</v>
      </c>
      <c r="J1517" s="111">
        <f t="shared" si="147"/>
        <v>0</v>
      </c>
      <c r="K1517" s="105"/>
    </row>
    <row r="1518" spans="1:11" s="104" customFormat="1" ht="39.6" x14ac:dyDescent="0.3">
      <c r="A1518" s="87">
        <v>1291</v>
      </c>
      <c r="B1518" s="87" t="s">
        <v>2160</v>
      </c>
      <c r="C1518" s="98" t="s">
        <v>2161</v>
      </c>
      <c r="D1518" s="98" t="s">
        <v>137</v>
      </c>
      <c r="E1518" s="99" t="s">
        <v>19</v>
      </c>
      <c r="F1518" s="113">
        <v>3000000</v>
      </c>
      <c r="G1518" s="113">
        <v>1000000</v>
      </c>
      <c r="H1518" s="111">
        <v>1000000</v>
      </c>
      <c r="I1518" s="111">
        <v>1000000</v>
      </c>
      <c r="J1518" s="111">
        <f t="shared" si="147"/>
        <v>0</v>
      </c>
      <c r="K1518" s="102" t="s">
        <v>1635</v>
      </c>
    </row>
    <row r="1519" spans="1:11" s="104" customFormat="1" x14ac:dyDescent="0.3">
      <c r="A1519" s="302" t="s">
        <v>2027</v>
      </c>
      <c r="B1519" s="303"/>
      <c r="C1519" s="303"/>
      <c r="D1519" s="304"/>
      <c r="E1519" s="90"/>
      <c r="F1519" s="129">
        <f>F1518</f>
        <v>3000000</v>
      </c>
      <c r="G1519" s="129">
        <f t="shared" ref="G1519:I1519" si="159">G1518</f>
        <v>1000000</v>
      </c>
      <c r="H1519" s="129">
        <f t="shared" si="159"/>
        <v>1000000</v>
      </c>
      <c r="I1519" s="129">
        <f t="shared" si="159"/>
        <v>1000000</v>
      </c>
      <c r="J1519" s="129">
        <f t="shared" si="147"/>
        <v>0</v>
      </c>
      <c r="K1519" s="105"/>
    </row>
    <row r="1520" spans="1:11" s="104" customFormat="1" ht="26.4" x14ac:dyDescent="0.3">
      <c r="A1520" s="128">
        <v>1292</v>
      </c>
      <c r="B1520" s="87" t="s">
        <v>2162</v>
      </c>
      <c r="C1520" s="98" t="s">
        <v>2163</v>
      </c>
      <c r="D1520" s="98" t="s">
        <v>591</v>
      </c>
      <c r="E1520" s="99" t="s">
        <v>19</v>
      </c>
      <c r="F1520" s="113">
        <v>750000</v>
      </c>
      <c r="G1520" s="113">
        <v>750000</v>
      </c>
      <c r="H1520" s="111">
        <v>0</v>
      </c>
      <c r="I1520" s="111">
        <v>0</v>
      </c>
      <c r="J1520" s="111">
        <v>0</v>
      </c>
      <c r="K1520" s="102" t="s">
        <v>1635</v>
      </c>
    </row>
    <row r="1521" spans="1:11" s="104" customFormat="1" x14ac:dyDescent="0.3">
      <c r="A1521" s="302" t="s">
        <v>2027</v>
      </c>
      <c r="B1521" s="303"/>
      <c r="C1521" s="303"/>
      <c r="D1521" s="304"/>
      <c r="E1521" s="90"/>
      <c r="F1521" s="111">
        <f>F1520</f>
        <v>750000</v>
      </c>
      <c r="G1521" s="111">
        <f t="shared" ref="G1521:I1521" si="160">G1520</f>
        <v>750000</v>
      </c>
      <c r="H1521" s="111">
        <f t="shared" si="160"/>
        <v>0</v>
      </c>
      <c r="I1521" s="111">
        <f t="shared" si="160"/>
        <v>0</v>
      </c>
      <c r="J1521" s="111">
        <f>SUM(J1520:J1520)</f>
        <v>0</v>
      </c>
      <c r="K1521" s="105"/>
    </row>
    <row r="1522" spans="1:11" s="104" customFormat="1" ht="26.4" x14ac:dyDescent="0.3">
      <c r="A1522" s="128">
        <v>1293</v>
      </c>
      <c r="B1522" s="87" t="s">
        <v>2162</v>
      </c>
      <c r="C1522" s="98" t="s">
        <v>2164</v>
      </c>
      <c r="D1522" s="98" t="s">
        <v>591</v>
      </c>
      <c r="E1522" s="98" t="s">
        <v>19</v>
      </c>
      <c r="F1522" s="113">
        <v>750000</v>
      </c>
      <c r="G1522" s="113">
        <v>0</v>
      </c>
      <c r="H1522" s="113">
        <v>750000</v>
      </c>
      <c r="I1522" s="111">
        <v>0</v>
      </c>
      <c r="J1522" s="111">
        <f t="shared" ref="J1522:J1524" si="161">SUM(J1521:J1521)</f>
        <v>0</v>
      </c>
      <c r="K1522" s="102" t="s">
        <v>1672</v>
      </c>
    </row>
    <row r="1523" spans="1:11" s="104" customFormat="1" x14ac:dyDescent="0.3">
      <c r="A1523" s="302" t="s">
        <v>1622</v>
      </c>
      <c r="B1523" s="303"/>
      <c r="C1523" s="303"/>
      <c r="D1523" s="304"/>
      <c r="E1523" s="87"/>
      <c r="F1523" s="129">
        <f>F1522</f>
        <v>750000</v>
      </c>
      <c r="G1523" s="129">
        <f t="shared" ref="G1523:I1523" si="162">G1522</f>
        <v>0</v>
      </c>
      <c r="H1523" s="129">
        <f t="shared" si="162"/>
        <v>750000</v>
      </c>
      <c r="I1523" s="129">
        <f t="shared" si="162"/>
        <v>0</v>
      </c>
      <c r="J1523" s="129">
        <f t="shared" si="161"/>
        <v>0</v>
      </c>
      <c r="K1523" s="105"/>
    </row>
    <row r="1524" spans="1:11" s="104" customFormat="1" ht="26.4" x14ac:dyDescent="0.3">
      <c r="A1524" s="87">
        <v>1294</v>
      </c>
      <c r="B1524" s="87" t="s">
        <v>2162</v>
      </c>
      <c r="C1524" s="98" t="s">
        <v>2165</v>
      </c>
      <c r="D1524" s="98" t="s">
        <v>591</v>
      </c>
      <c r="E1524" s="98" t="s">
        <v>19</v>
      </c>
      <c r="F1524" s="113">
        <v>750000</v>
      </c>
      <c r="G1524" s="113">
        <v>0</v>
      </c>
      <c r="H1524" s="111">
        <v>0</v>
      </c>
      <c r="I1524" s="113">
        <v>750000</v>
      </c>
      <c r="J1524" s="111">
        <f t="shared" si="161"/>
        <v>0</v>
      </c>
      <c r="K1524" s="102" t="s">
        <v>1674</v>
      </c>
    </row>
    <row r="1525" spans="1:11" s="104" customFormat="1" x14ac:dyDescent="0.3">
      <c r="A1525" s="302" t="s">
        <v>2030</v>
      </c>
      <c r="B1525" s="303"/>
      <c r="C1525" s="303"/>
      <c r="D1525" s="304"/>
      <c r="E1525" s="87"/>
      <c r="F1525" s="129">
        <f>F1524</f>
        <v>750000</v>
      </c>
      <c r="G1525" s="129">
        <f t="shared" ref="G1525:I1525" si="163">G1524</f>
        <v>0</v>
      </c>
      <c r="H1525" s="129">
        <f t="shared" si="163"/>
        <v>0</v>
      </c>
      <c r="I1525" s="129">
        <f t="shared" si="163"/>
        <v>750000</v>
      </c>
      <c r="J1525" s="129">
        <f t="shared" ref="J1525:J1528" si="164">SUM(J1524)</f>
        <v>0</v>
      </c>
      <c r="K1525" s="105"/>
    </row>
    <row r="1526" spans="1:11" s="104" customFormat="1" ht="26.4" x14ac:dyDescent="0.3">
      <c r="A1526" s="87">
        <v>1295</v>
      </c>
      <c r="B1526" s="87" t="s">
        <v>2166</v>
      </c>
      <c r="C1526" s="98" t="s">
        <v>2167</v>
      </c>
      <c r="D1526" s="98" t="s">
        <v>137</v>
      </c>
      <c r="E1526" s="99" t="s">
        <v>19</v>
      </c>
      <c r="F1526" s="113">
        <v>10736640</v>
      </c>
      <c r="G1526" s="113">
        <v>0</v>
      </c>
      <c r="H1526" s="111">
        <v>5368320</v>
      </c>
      <c r="I1526" s="111">
        <v>5368320</v>
      </c>
      <c r="J1526" s="111">
        <f t="shared" si="164"/>
        <v>0</v>
      </c>
      <c r="K1526" s="102" t="s">
        <v>1836</v>
      </c>
    </row>
    <row r="1527" spans="1:11" s="104" customFormat="1" x14ac:dyDescent="0.3">
      <c r="A1527" s="302" t="s">
        <v>2027</v>
      </c>
      <c r="B1527" s="303"/>
      <c r="C1527" s="303"/>
      <c r="D1527" s="304"/>
      <c r="E1527" s="90"/>
      <c r="F1527" s="129">
        <f>SUM(F1526)</f>
        <v>10736640</v>
      </c>
      <c r="G1527" s="129">
        <f t="shared" ref="G1527:I1527" si="165">SUM(G1526)</f>
        <v>0</v>
      </c>
      <c r="H1527" s="129">
        <f t="shared" si="165"/>
        <v>5368320</v>
      </c>
      <c r="I1527" s="129">
        <f t="shared" si="165"/>
        <v>5368320</v>
      </c>
      <c r="J1527" s="129">
        <f t="shared" si="164"/>
        <v>0</v>
      </c>
      <c r="K1527" s="105"/>
    </row>
    <row r="1528" spans="1:11" s="104" customFormat="1" ht="26.4" x14ac:dyDescent="0.3">
      <c r="A1528" s="87">
        <v>1296</v>
      </c>
      <c r="B1528" s="87" t="s">
        <v>2168</v>
      </c>
      <c r="C1528" s="98" t="s">
        <v>2169</v>
      </c>
      <c r="D1528" s="98" t="s">
        <v>367</v>
      </c>
      <c r="E1528" s="99" t="s">
        <v>19</v>
      </c>
      <c r="F1528" s="111">
        <v>1300000</v>
      </c>
      <c r="G1528" s="111">
        <v>1300000</v>
      </c>
      <c r="H1528" s="111">
        <v>0</v>
      </c>
      <c r="I1528" s="114">
        <v>0</v>
      </c>
      <c r="J1528" s="111">
        <f t="shared" si="164"/>
        <v>0</v>
      </c>
      <c r="K1528" s="102" t="s">
        <v>1635</v>
      </c>
    </row>
    <row r="1529" spans="1:11" s="104" customFormat="1" x14ac:dyDescent="0.3">
      <c r="A1529" s="302" t="s">
        <v>2027</v>
      </c>
      <c r="B1529" s="303"/>
      <c r="C1529" s="303"/>
      <c r="D1529" s="304"/>
      <c r="E1529" s="90"/>
      <c r="F1529" s="129">
        <f>SUM(F1528)</f>
        <v>1300000</v>
      </c>
      <c r="G1529" s="129">
        <f t="shared" ref="G1529:J1530" si="166">SUM(G1528)</f>
        <v>1300000</v>
      </c>
      <c r="H1529" s="129">
        <f t="shared" si="166"/>
        <v>0</v>
      </c>
      <c r="I1529" s="129">
        <f t="shared" si="166"/>
        <v>0</v>
      </c>
      <c r="J1529" s="111">
        <f t="shared" si="166"/>
        <v>0</v>
      </c>
      <c r="K1529" s="102"/>
    </row>
    <row r="1530" spans="1:11" s="104" customFormat="1" ht="26.4" x14ac:dyDescent="0.3">
      <c r="A1530" s="87">
        <v>1297</v>
      </c>
      <c r="B1530" s="87" t="s">
        <v>2168</v>
      </c>
      <c r="C1530" s="106" t="s">
        <v>2170</v>
      </c>
      <c r="D1530" s="98" t="s">
        <v>367</v>
      </c>
      <c r="E1530" s="99" t="s">
        <v>19</v>
      </c>
      <c r="F1530" s="111">
        <v>1300000</v>
      </c>
      <c r="G1530" s="111">
        <v>0</v>
      </c>
      <c r="H1530" s="111">
        <v>1300000</v>
      </c>
      <c r="I1530" s="111">
        <v>0</v>
      </c>
      <c r="J1530" s="111">
        <f t="shared" si="166"/>
        <v>0</v>
      </c>
      <c r="K1530" s="102" t="s">
        <v>1672</v>
      </c>
    </row>
    <row r="1531" spans="1:11" s="104" customFormat="1" x14ac:dyDescent="0.3">
      <c r="A1531" s="302" t="s">
        <v>1622</v>
      </c>
      <c r="B1531" s="303"/>
      <c r="C1531" s="303"/>
      <c r="D1531" s="304"/>
      <c r="E1531" s="87"/>
      <c r="F1531" s="129">
        <f>SUM(F1530)</f>
        <v>1300000</v>
      </c>
      <c r="G1531" s="129">
        <f t="shared" ref="G1531:J1532" si="167">SUM(G1530)</f>
        <v>0</v>
      </c>
      <c r="H1531" s="129">
        <f t="shared" si="167"/>
        <v>1300000</v>
      </c>
      <c r="I1531" s="129">
        <f t="shared" si="167"/>
        <v>0</v>
      </c>
      <c r="J1531" s="111">
        <f t="shared" si="167"/>
        <v>0</v>
      </c>
      <c r="K1531" s="102"/>
    </row>
    <row r="1532" spans="1:11" s="104" customFormat="1" ht="26.4" x14ac:dyDescent="0.3">
      <c r="A1532" s="87">
        <v>1298</v>
      </c>
      <c r="B1532" s="87" t="s">
        <v>2168</v>
      </c>
      <c r="C1532" s="106" t="s">
        <v>2171</v>
      </c>
      <c r="D1532" s="98" t="s">
        <v>367</v>
      </c>
      <c r="E1532" s="99" t="s">
        <v>19</v>
      </c>
      <c r="F1532" s="111">
        <v>1300000</v>
      </c>
      <c r="G1532" s="111">
        <v>0</v>
      </c>
      <c r="H1532" s="111">
        <v>0</v>
      </c>
      <c r="I1532" s="111">
        <v>1300000</v>
      </c>
      <c r="J1532" s="111">
        <f t="shared" si="167"/>
        <v>0</v>
      </c>
      <c r="K1532" s="102" t="s">
        <v>1674</v>
      </c>
    </row>
    <row r="1533" spans="1:11" s="104" customFormat="1" x14ac:dyDescent="0.3">
      <c r="A1533" s="302" t="s">
        <v>2030</v>
      </c>
      <c r="B1533" s="303"/>
      <c r="C1533" s="303"/>
      <c r="D1533" s="304"/>
      <c r="E1533" s="87"/>
      <c r="F1533" s="129">
        <f>SUM(F1532)</f>
        <v>1300000</v>
      </c>
      <c r="G1533" s="129">
        <f t="shared" ref="G1533:J1548" si="168">SUM(G1532)</f>
        <v>0</v>
      </c>
      <c r="H1533" s="129">
        <f t="shared" si="168"/>
        <v>0</v>
      </c>
      <c r="I1533" s="129">
        <f t="shared" si="168"/>
        <v>1300000</v>
      </c>
      <c r="J1533" s="111">
        <f t="shared" si="168"/>
        <v>0</v>
      </c>
      <c r="K1533" s="102"/>
    </row>
    <row r="1534" spans="1:11" s="104" customFormat="1" ht="22.5" customHeight="1" x14ac:dyDescent="0.3">
      <c r="A1534" s="85">
        <v>1299</v>
      </c>
      <c r="B1534" s="294" t="s">
        <v>2172</v>
      </c>
      <c r="C1534" s="98" t="s">
        <v>2173</v>
      </c>
      <c r="D1534" s="98" t="s">
        <v>137</v>
      </c>
      <c r="E1534" s="98" t="s">
        <v>19</v>
      </c>
      <c r="F1534" s="113">
        <v>10328400</v>
      </c>
      <c r="G1534" s="113">
        <v>0</v>
      </c>
      <c r="H1534" s="111">
        <v>5164200</v>
      </c>
      <c r="I1534" s="111">
        <v>5164200</v>
      </c>
      <c r="J1534" s="111">
        <f t="shared" si="168"/>
        <v>0</v>
      </c>
      <c r="K1534" s="102" t="s">
        <v>1638</v>
      </c>
    </row>
    <row r="1535" spans="1:11" s="104" customFormat="1" ht="39.6" x14ac:dyDescent="0.3">
      <c r="A1535" s="87">
        <v>1300</v>
      </c>
      <c r="B1535" s="295"/>
      <c r="C1535" s="98" t="s">
        <v>2174</v>
      </c>
      <c r="D1535" s="98" t="s">
        <v>2175</v>
      </c>
      <c r="E1535" s="98" t="s">
        <v>19</v>
      </c>
      <c r="F1535" s="113">
        <v>2321000</v>
      </c>
      <c r="G1535" s="113">
        <v>2321000</v>
      </c>
      <c r="H1535" s="111">
        <v>0</v>
      </c>
      <c r="I1535" s="111">
        <v>0</v>
      </c>
      <c r="J1535" s="111">
        <f t="shared" si="168"/>
        <v>0</v>
      </c>
      <c r="K1535" s="102" t="s">
        <v>1635</v>
      </c>
    </row>
    <row r="1536" spans="1:11" s="104" customFormat="1" x14ac:dyDescent="0.3">
      <c r="A1536" s="302" t="s">
        <v>2027</v>
      </c>
      <c r="B1536" s="303"/>
      <c r="C1536" s="303"/>
      <c r="D1536" s="304"/>
      <c r="E1536" s="90"/>
      <c r="F1536" s="129">
        <f>SUM(F1534:F1535)</f>
        <v>12649400</v>
      </c>
      <c r="G1536" s="129">
        <f t="shared" ref="G1536:I1536" si="169">SUM(G1534:G1535)</f>
        <v>2321000</v>
      </c>
      <c r="H1536" s="129">
        <f t="shared" si="169"/>
        <v>5164200</v>
      </c>
      <c r="I1536" s="129">
        <f t="shared" si="169"/>
        <v>5164200</v>
      </c>
      <c r="J1536" s="129">
        <f t="shared" si="168"/>
        <v>0</v>
      </c>
      <c r="K1536" s="105"/>
    </row>
    <row r="1537" spans="1:11" s="104" customFormat="1" ht="26.4" x14ac:dyDescent="0.3">
      <c r="A1537" s="87">
        <v>1301</v>
      </c>
      <c r="B1537" s="294" t="s">
        <v>2176</v>
      </c>
      <c r="C1537" s="98" t="s">
        <v>2177</v>
      </c>
      <c r="D1537" s="98" t="s">
        <v>2178</v>
      </c>
      <c r="E1537" s="99" t="s">
        <v>19</v>
      </c>
      <c r="F1537" s="113">
        <v>234000</v>
      </c>
      <c r="G1537" s="113">
        <v>234000</v>
      </c>
      <c r="H1537" s="111">
        <v>0</v>
      </c>
      <c r="I1537" s="111">
        <v>0</v>
      </c>
      <c r="J1537" s="111">
        <f t="shared" si="168"/>
        <v>0</v>
      </c>
      <c r="K1537" s="102" t="s">
        <v>1635</v>
      </c>
    </row>
    <row r="1538" spans="1:11" s="104" customFormat="1" ht="26.4" x14ac:dyDescent="0.3">
      <c r="A1538" s="87">
        <v>1302</v>
      </c>
      <c r="B1538" s="305"/>
      <c r="C1538" s="98" t="s">
        <v>2179</v>
      </c>
      <c r="D1538" s="98" t="s">
        <v>1723</v>
      </c>
      <c r="E1538" s="99" t="s">
        <v>19</v>
      </c>
      <c r="F1538" s="113">
        <v>836000</v>
      </c>
      <c r="G1538" s="113">
        <v>76000</v>
      </c>
      <c r="H1538" s="111">
        <v>456000</v>
      </c>
      <c r="I1538" s="111">
        <v>304000</v>
      </c>
      <c r="J1538" s="111">
        <f t="shared" si="168"/>
        <v>0</v>
      </c>
      <c r="K1538" s="102" t="s">
        <v>1632</v>
      </c>
    </row>
    <row r="1539" spans="1:11" s="104" customFormat="1" ht="26.4" x14ac:dyDescent="0.3">
      <c r="A1539" s="87">
        <v>1303</v>
      </c>
      <c r="B1539" s="305"/>
      <c r="C1539" s="98" t="s">
        <v>2180</v>
      </c>
      <c r="D1539" s="98" t="s">
        <v>137</v>
      </c>
      <c r="E1539" s="98" t="s">
        <v>19</v>
      </c>
      <c r="F1539" s="113">
        <v>4600000</v>
      </c>
      <c r="G1539" s="113">
        <v>0</v>
      </c>
      <c r="H1539" s="111">
        <v>2300000</v>
      </c>
      <c r="I1539" s="111">
        <v>2300000</v>
      </c>
      <c r="J1539" s="111">
        <f t="shared" si="168"/>
        <v>0</v>
      </c>
      <c r="K1539" s="102" t="s">
        <v>2181</v>
      </c>
    </row>
    <row r="1540" spans="1:11" s="104" customFormat="1" ht="26.4" x14ac:dyDescent="0.3">
      <c r="A1540" s="87">
        <v>1304</v>
      </c>
      <c r="B1540" s="295"/>
      <c r="C1540" s="123" t="s">
        <v>2182</v>
      </c>
      <c r="D1540" s="123" t="s">
        <v>2183</v>
      </c>
      <c r="E1540" s="121" t="s">
        <v>19</v>
      </c>
      <c r="F1540" s="124">
        <v>222650</v>
      </c>
      <c r="G1540" s="113">
        <v>8906</v>
      </c>
      <c r="H1540" s="111">
        <v>106872</v>
      </c>
      <c r="I1540" s="113">
        <v>106872</v>
      </c>
      <c r="J1540" s="111">
        <f t="shared" si="168"/>
        <v>0</v>
      </c>
      <c r="K1540" s="102" t="s">
        <v>1635</v>
      </c>
    </row>
    <row r="1541" spans="1:11" s="104" customFormat="1" x14ac:dyDescent="0.3">
      <c r="A1541" s="302" t="s">
        <v>1622</v>
      </c>
      <c r="B1541" s="303"/>
      <c r="C1541" s="303"/>
      <c r="D1541" s="304"/>
      <c r="E1541" s="90"/>
      <c r="F1541" s="129">
        <f>SUM(F1537:F1540)</f>
        <v>5892650</v>
      </c>
      <c r="G1541" s="129">
        <f>SUM(G1537:G1540)</f>
        <v>318906</v>
      </c>
      <c r="H1541" s="129">
        <f t="shared" ref="H1541" si="170">SUM(H1537:H1540)</f>
        <v>2862872</v>
      </c>
      <c r="I1541" s="129">
        <f>SUM(I1537:I1540)</f>
        <v>2710872</v>
      </c>
      <c r="J1541" s="111">
        <f t="shared" si="168"/>
        <v>0</v>
      </c>
      <c r="K1541" s="105"/>
    </row>
    <row r="1542" spans="1:11" s="104" customFormat="1" ht="22.5" customHeight="1" x14ac:dyDescent="0.3">
      <c r="A1542" s="87">
        <v>1305</v>
      </c>
      <c r="B1542" s="294" t="s">
        <v>2184</v>
      </c>
      <c r="C1542" s="98" t="s">
        <v>2185</v>
      </c>
      <c r="D1542" s="98" t="s">
        <v>137</v>
      </c>
      <c r="E1542" s="99" t="s">
        <v>19</v>
      </c>
      <c r="F1542" s="113">
        <v>6000000</v>
      </c>
      <c r="G1542" s="113">
        <v>0</v>
      </c>
      <c r="H1542" s="111">
        <v>3000000</v>
      </c>
      <c r="I1542" s="111">
        <v>3000000</v>
      </c>
      <c r="J1542" s="111">
        <f t="shared" si="168"/>
        <v>0</v>
      </c>
      <c r="K1542" s="102" t="s">
        <v>1692</v>
      </c>
    </row>
    <row r="1543" spans="1:11" s="104" customFormat="1" ht="22.5" customHeight="1" x14ac:dyDescent="0.3">
      <c r="A1543" s="87">
        <v>1306</v>
      </c>
      <c r="B1543" s="295"/>
      <c r="C1543" s="98" t="s">
        <v>2186</v>
      </c>
      <c r="D1543" s="98" t="s">
        <v>591</v>
      </c>
      <c r="E1543" s="99" t="s">
        <v>19</v>
      </c>
      <c r="F1543" s="113">
        <v>200000</v>
      </c>
      <c r="G1543" s="113">
        <v>200000</v>
      </c>
      <c r="H1543" s="111">
        <v>0</v>
      </c>
      <c r="I1543" s="111">
        <v>0</v>
      </c>
      <c r="J1543" s="111">
        <f t="shared" si="168"/>
        <v>0</v>
      </c>
      <c r="K1543" s="102" t="s">
        <v>1635</v>
      </c>
    </row>
    <row r="1544" spans="1:11" s="104" customFormat="1" x14ac:dyDescent="0.3">
      <c r="A1544" s="302" t="s">
        <v>2027</v>
      </c>
      <c r="B1544" s="303"/>
      <c r="C1544" s="303"/>
      <c r="D1544" s="304"/>
      <c r="E1544" s="90"/>
      <c r="F1544" s="129">
        <f>SUM(F1542:F1543)</f>
        <v>6200000</v>
      </c>
      <c r="G1544" s="129">
        <f t="shared" ref="G1544:I1544" si="171">SUM(G1542:G1543)</f>
        <v>200000</v>
      </c>
      <c r="H1544" s="129">
        <f t="shared" si="171"/>
        <v>3000000</v>
      </c>
      <c r="I1544" s="129">
        <f t="shared" si="171"/>
        <v>3000000</v>
      </c>
      <c r="J1544" s="111">
        <f t="shared" si="168"/>
        <v>0</v>
      </c>
      <c r="K1544" s="105"/>
    </row>
    <row r="1545" spans="1:11" s="104" customFormat="1" ht="39.6" x14ac:dyDescent="0.3">
      <c r="A1545" s="87">
        <v>1307</v>
      </c>
      <c r="B1545" s="87" t="s">
        <v>2187</v>
      </c>
      <c r="C1545" s="98" t="s">
        <v>2188</v>
      </c>
      <c r="D1545" s="98" t="s">
        <v>911</v>
      </c>
      <c r="E1545" s="99" t="s">
        <v>19</v>
      </c>
      <c r="F1545" s="113">
        <v>1163275.5</v>
      </c>
      <c r="G1545" s="113">
        <v>1163275.5</v>
      </c>
      <c r="H1545" s="113">
        <v>0</v>
      </c>
      <c r="I1545" s="113">
        <v>0</v>
      </c>
      <c r="J1545" s="111">
        <f t="shared" si="168"/>
        <v>0</v>
      </c>
      <c r="K1545" s="102" t="s">
        <v>1635</v>
      </c>
    </row>
    <row r="1546" spans="1:11" s="104" customFormat="1" x14ac:dyDescent="0.3">
      <c r="A1546" s="302" t="s">
        <v>2027</v>
      </c>
      <c r="B1546" s="303"/>
      <c r="C1546" s="303"/>
      <c r="D1546" s="304"/>
      <c r="E1546" s="90"/>
      <c r="F1546" s="129">
        <f>F1545</f>
        <v>1163275.5</v>
      </c>
      <c r="G1546" s="129">
        <f t="shared" ref="G1546:I1546" si="172">G1545</f>
        <v>1163275.5</v>
      </c>
      <c r="H1546" s="129">
        <f t="shared" si="172"/>
        <v>0</v>
      </c>
      <c r="I1546" s="129">
        <f t="shared" si="172"/>
        <v>0</v>
      </c>
      <c r="J1546" s="129">
        <f t="shared" si="168"/>
        <v>0</v>
      </c>
      <c r="K1546" s="105"/>
    </row>
    <row r="1547" spans="1:11" s="104" customFormat="1" ht="26.4" x14ac:dyDescent="0.3">
      <c r="A1547" s="87">
        <v>1308</v>
      </c>
      <c r="B1547" s="294" t="s">
        <v>2187</v>
      </c>
      <c r="C1547" s="98" t="s">
        <v>2189</v>
      </c>
      <c r="D1547" s="98" t="s">
        <v>137</v>
      </c>
      <c r="E1547" s="98" t="s">
        <v>19</v>
      </c>
      <c r="F1547" s="113">
        <v>4386000</v>
      </c>
      <c r="G1547" s="113">
        <v>0</v>
      </c>
      <c r="H1547" s="125">
        <v>2190000</v>
      </c>
      <c r="I1547" s="111">
        <v>2196000</v>
      </c>
      <c r="J1547" s="111">
        <f t="shared" si="168"/>
        <v>0</v>
      </c>
      <c r="K1547" s="102" t="s">
        <v>1747</v>
      </c>
    </row>
    <row r="1548" spans="1:11" s="104" customFormat="1" ht="92.4" x14ac:dyDescent="0.3">
      <c r="A1548" s="87">
        <v>1309</v>
      </c>
      <c r="B1548" s="305"/>
      <c r="C1548" s="98" t="s">
        <v>2190</v>
      </c>
      <c r="D1548" s="98" t="s">
        <v>2191</v>
      </c>
      <c r="E1548" s="98" t="s">
        <v>19</v>
      </c>
      <c r="F1548" s="113">
        <v>109735</v>
      </c>
      <c r="G1548" s="113">
        <v>0</v>
      </c>
      <c r="H1548" s="113">
        <v>109735</v>
      </c>
      <c r="I1548" s="111">
        <v>0</v>
      </c>
      <c r="J1548" s="111">
        <f t="shared" si="168"/>
        <v>0</v>
      </c>
      <c r="K1548" s="102" t="s">
        <v>2192</v>
      </c>
    </row>
    <row r="1549" spans="1:11" s="104" customFormat="1" ht="39.6" x14ac:dyDescent="0.3">
      <c r="A1549" s="87">
        <v>1310</v>
      </c>
      <c r="B1549" s="295"/>
      <c r="C1549" s="98" t="s">
        <v>2193</v>
      </c>
      <c r="D1549" s="98" t="s">
        <v>911</v>
      </c>
      <c r="E1549" s="98" t="s">
        <v>19</v>
      </c>
      <c r="F1549" s="113">
        <v>1048540.5</v>
      </c>
      <c r="G1549" s="113">
        <v>0</v>
      </c>
      <c r="H1549" s="113">
        <v>1048540.5</v>
      </c>
      <c r="I1549" s="111">
        <v>0</v>
      </c>
      <c r="J1549" s="111">
        <f t="shared" ref="J1549:J1596" si="173">SUM(J1548)</f>
        <v>0</v>
      </c>
      <c r="K1549" s="102" t="s">
        <v>1672</v>
      </c>
    </row>
    <row r="1550" spans="1:11" s="104" customFormat="1" x14ac:dyDescent="0.3">
      <c r="A1550" s="302" t="s">
        <v>1622</v>
      </c>
      <c r="B1550" s="303"/>
      <c r="C1550" s="303"/>
      <c r="D1550" s="304"/>
      <c r="E1550" s="87"/>
      <c r="F1550" s="129">
        <f>SUM(F1547:F1549)</f>
        <v>5544275.5</v>
      </c>
      <c r="G1550" s="129">
        <f>SUM(G1547:G1549)</f>
        <v>0</v>
      </c>
      <c r="H1550" s="129">
        <f>SUM(H1547:H1549)</f>
        <v>3348275.5</v>
      </c>
      <c r="I1550" s="129">
        <f>SUM(I1547:I1549)</f>
        <v>2196000</v>
      </c>
      <c r="J1550" s="129">
        <f t="shared" si="173"/>
        <v>0</v>
      </c>
      <c r="K1550" s="105"/>
    </row>
    <row r="1551" spans="1:11" s="104" customFormat="1" ht="92.4" x14ac:dyDescent="0.3">
      <c r="A1551" s="87">
        <v>1311</v>
      </c>
      <c r="B1551" s="87" t="s">
        <v>2187</v>
      </c>
      <c r="C1551" s="98" t="s">
        <v>2194</v>
      </c>
      <c r="D1551" s="98" t="s">
        <v>2191</v>
      </c>
      <c r="E1551" s="98" t="s">
        <v>19</v>
      </c>
      <c r="F1551" s="113">
        <v>109735</v>
      </c>
      <c r="G1551" s="113">
        <v>0</v>
      </c>
      <c r="H1551" s="113">
        <v>0</v>
      </c>
      <c r="I1551" s="113">
        <v>109735</v>
      </c>
      <c r="J1551" s="111">
        <f t="shared" si="173"/>
        <v>0</v>
      </c>
      <c r="K1551" s="102" t="s">
        <v>2195</v>
      </c>
    </row>
    <row r="1552" spans="1:11" s="104" customFormat="1" x14ac:dyDescent="0.3">
      <c r="A1552" s="302" t="s">
        <v>2030</v>
      </c>
      <c r="B1552" s="303"/>
      <c r="C1552" s="303"/>
      <c r="D1552" s="304"/>
      <c r="E1552" s="87"/>
      <c r="F1552" s="129">
        <f>F1551</f>
        <v>109735</v>
      </c>
      <c r="G1552" s="129">
        <f t="shared" ref="G1552:I1552" si="174">G1551</f>
        <v>0</v>
      </c>
      <c r="H1552" s="129">
        <f t="shared" si="174"/>
        <v>0</v>
      </c>
      <c r="I1552" s="129">
        <f t="shared" si="174"/>
        <v>109735</v>
      </c>
      <c r="J1552" s="129">
        <f t="shared" si="173"/>
        <v>0</v>
      </c>
      <c r="K1552" s="105"/>
    </row>
    <row r="1553" spans="1:11" s="104" customFormat="1" ht="26.4" x14ac:dyDescent="0.3">
      <c r="A1553" s="87">
        <v>1312</v>
      </c>
      <c r="B1553" s="117" t="s">
        <v>2196</v>
      </c>
      <c r="C1553" s="98" t="s">
        <v>2197</v>
      </c>
      <c r="D1553" s="98" t="s">
        <v>137</v>
      </c>
      <c r="E1553" s="99" t="s">
        <v>19</v>
      </c>
      <c r="F1553" s="113">
        <v>1717560</v>
      </c>
      <c r="G1553" s="113">
        <v>1717560</v>
      </c>
      <c r="H1553" s="111">
        <v>0</v>
      </c>
      <c r="I1553" s="111">
        <v>0</v>
      </c>
      <c r="J1553" s="111">
        <f t="shared" si="173"/>
        <v>0</v>
      </c>
      <c r="K1553" s="105">
        <v>46082</v>
      </c>
    </row>
    <row r="1554" spans="1:11" s="104" customFormat="1" x14ac:dyDescent="0.3">
      <c r="A1554" s="302" t="s">
        <v>2027</v>
      </c>
      <c r="B1554" s="303"/>
      <c r="C1554" s="303"/>
      <c r="D1554" s="304"/>
      <c r="E1554" s="90"/>
      <c r="F1554" s="129">
        <f>SUM(F1553)</f>
        <v>1717560</v>
      </c>
      <c r="G1554" s="129">
        <f t="shared" ref="G1554:I1554" si="175">SUM(G1553)</f>
        <v>1717560</v>
      </c>
      <c r="H1554" s="129">
        <f t="shared" si="175"/>
        <v>0</v>
      </c>
      <c r="I1554" s="129">
        <f t="shared" si="175"/>
        <v>0</v>
      </c>
      <c r="J1554" s="129">
        <f t="shared" si="173"/>
        <v>0</v>
      </c>
      <c r="K1554" s="105"/>
    </row>
    <row r="1555" spans="1:11" s="104" customFormat="1" ht="26.4" x14ac:dyDescent="0.3">
      <c r="A1555" s="87">
        <v>1313</v>
      </c>
      <c r="B1555" s="117" t="s">
        <v>2196</v>
      </c>
      <c r="C1555" s="98" t="s">
        <v>2198</v>
      </c>
      <c r="D1555" s="98" t="s">
        <v>182</v>
      </c>
      <c r="E1555" s="99" t="s">
        <v>19</v>
      </c>
      <c r="F1555" s="113">
        <v>50000</v>
      </c>
      <c r="G1555" s="113">
        <v>0</v>
      </c>
      <c r="H1555" s="113">
        <v>50000</v>
      </c>
      <c r="I1555" s="111">
        <v>0</v>
      </c>
      <c r="J1555" s="111">
        <f t="shared" si="173"/>
        <v>0</v>
      </c>
      <c r="K1555" s="105">
        <v>46447</v>
      </c>
    </row>
    <row r="1556" spans="1:11" s="104" customFormat="1" x14ac:dyDescent="0.3">
      <c r="A1556" s="302" t="s">
        <v>1622</v>
      </c>
      <c r="B1556" s="303"/>
      <c r="C1556" s="303"/>
      <c r="D1556" s="304"/>
      <c r="E1556" s="87"/>
      <c r="F1556" s="129">
        <f>SUM(F1555)</f>
        <v>50000</v>
      </c>
      <c r="G1556" s="129">
        <f t="shared" ref="G1556:I1556" si="176">SUM(G1555)</f>
        <v>0</v>
      </c>
      <c r="H1556" s="129">
        <f t="shared" si="176"/>
        <v>50000</v>
      </c>
      <c r="I1556" s="129">
        <f t="shared" si="176"/>
        <v>0</v>
      </c>
      <c r="J1556" s="129">
        <f t="shared" si="173"/>
        <v>0</v>
      </c>
      <c r="K1556" s="105"/>
    </row>
    <row r="1557" spans="1:11" s="104" customFormat="1" ht="26.4" x14ac:dyDescent="0.3">
      <c r="A1557" s="87">
        <v>1314</v>
      </c>
      <c r="B1557" s="117" t="s">
        <v>2196</v>
      </c>
      <c r="C1557" s="98" t="s">
        <v>2199</v>
      </c>
      <c r="D1557" s="98" t="s">
        <v>182</v>
      </c>
      <c r="E1557" s="99" t="s">
        <v>19</v>
      </c>
      <c r="F1557" s="113">
        <v>50000</v>
      </c>
      <c r="G1557" s="113">
        <v>0</v>
      </c>
      <c r="H1557" s="111">
        <v>0</v>
      </c>
      <c r="I1557" s="113">
        <v>50000</v>
      </c>
      <c r="J1557" s="111">
        <f t="shared" si="173"/>
        <v>0</v>
      </c>
      <c r="K1557" s="105">
        <v>46813</v>
      </c>
    </row>
    <row r="1558" spans="1:11" s="104" customFormat="1" x14ac:dyDescent="0.3">
      <c r="A1558" s="302" t="s">
        <v>2030</v>
      </c>
      <c r="B1558" s="303"/>
      <c r="C1558" s="303"/>
      <c r="D1558" s="304"/>
      <c r="E1558" s="87"/>
      <c r="F1558" s="129">
        <f>SUM(F1557)</f>
        <v>50000</v>
      </c>
      <c r="G1558" s="129">
        <f t="shared" ref="G1558:I1558" si="177">SUM(G1557)</f>
        <v>0</v>
      </c>
      <c r="H1558" s="129">
        <f t="shared" si="177"/>
        <v>0</v>
      </c>
      <c r="I1558" s="129">
        <f t="shared" si="177"/>
        <v>50000</v>
      </c>
      <c r="J1558" s="129">
        <f t="shared" si="173"/>
        <v>0</v>
      </c>
      <c r="K1558" s="105"/>
    </row>
    <row r="1559" spans="1:11" s="104" customFormat="1" ht="27" customHeight="1" x14ac:dyDescent="0.3">
      <c r="A1559" s="87">
        <v>1315</v>
      </c>
      <c r="B1559" s="294" t="s">
        <v>2200</v>
      </c>
      <c r="C1559" s="98" t="s">
        <v>2201</v>
      </c>
      <c r="D1559" s="98" t="s">
        <v>137</v>
      </c>
      <c r="E1559" s="99" t="s">
        <v>19</v>
      </c>
      <c r="F1559" s="113">
        <v>18800000</v>
      </c>
      <c r="G1559" s="113">
        <v>0</v>
      </c>
      <c r="H1559" s="111">
        <v>9400000</v>
      </c>
      <c r="I1559" s="111">
        <v>9400000</v>
      </c>
      <c r="J1559" s="111">
        <f t="shared" si="173"/>
        <v>0</v>
      </c>
      <c r="K1559" s="102" t="s">
        <v>1848</v>
      </c>
    </row>
    <row r="1560" spans="1:11" s="104" customFormat="1" ht="27" customHeight="1" x14ac:dyDescent="0.3">
      <c r="A1560" s="87">
        <v>1316</v>
      </c>
      <c r="B1560" s="305"/>
      <c r="C1560" s="98" t="s">
        <v>2202</v>
      </c>
      <c r="D1560" s="98" t="s">
        <v>2203</v>
      </c>
      <c r="E1560" s="99" t="s">
        <v>19</v>
      </c>
      <c r="F1560" s="113">
        <v>400000</v>
      </c>
      <c r="G1560" s="113">
        <v>400000</v>
      </c>
      <c r="H1560" s="111">
        <v>0</v>
      </c>
      <c r="I1560" s="111">
        <v>0</v>
      </c>
      <c r="J1560" s="111">
        <f t="shared" si="173"/>
        <v>0</v>
      </c>
      <c r="K1560" s="102" t="s">
        <v>1635</v>
      </c>
    </row>
    <row r="1561" spans="1:11" s="104" customFormat="1" ht="27" customHeight="1" x14ac:dyDescent="0.3">
      <c r="A1561" s="87">
        <v>1317</v>
      </c>
      <c r="B1561" s="305"/>
      <c r="C1561" s="98" t="s">
        <v>2204</v>
      </c>
      <c r="D1561" s="98" t="s">
        <v>2205</v>
      </c>
      <c r="E1561" s="99" t="s">
        <v>19</v>
      </c>
      <c r="F1561" s="126">
        <v>3588000</v>
      </c>
      <c r="G1561" s="126">
        <v>3588000</v>
      </c>
      <c r="H1561" s="111">
        <v>0</v>
      </c>
      <c r="I1561" s="111">
        <v>0</v>
      </c>
      <c r="J1561" s="111">
        <f t="shared" si="173"/>
        <v>0</v>
      </c>
      <c r="K1561" s="102" t="s">
        <v>1635</v>
      </c>
    </row>
    <row r="1562" spans="1:11" s="104" customFormat="1" ht="27" customHeight="1" x14ac:dyDescent="0.3">
      <c r="A1562" s="87">
        <v>1318</v>
      </c>
      <c r="B1562" s="295"/>
      <c r="C1562" s="98" t="s">
        <v>2206</v>
      </c>
      <c r="D1562" s="98" t="s">
        <v>2207</v>
      </c>
      <c r="E1562" s="99" t="s">
        <v>19</v>
      </c>
      <c r="F1562" s="126">
        <v>534000</v>
      </c>
      <c r="G1562" s="126">
        <v>534000</v>
      </c>
      <c r="H1562" s="111">
        <v>0</v>
      </c>
      <c r="I1562" s="111">
        <v>0</v>
      </c>
      <c r="J1562" s="111">
        <f t="shared" si="173"/>
        <v>0</v>
      </c>
      <c r="K1562" s="102" t="s">
        <v>1635</v>
      </c>
    </row>
    <row r="1563" spans="1:11" s="104" customFormat="1" x14ac:dyDescent="0.3">
      <c r="A1563" s="302" t="s">
        <v>2027</v>
      </c>
      <c r="B1563" s="303"/>
      <c r="C1563" s="303"/>
      <c r="D1563" s="304"/>
      <c r="E1563" s="90"/>
      <c r="F1563" s="129">
        <f>SUM(F1559:F1562)</f>
        <v>23322000</v>
      </c>
      <c r="G1563" s="129">
        <f t="shared" ref="G1563:I1563" si="178">SUM(G1559:G1562)</f>
        <v>4522000</v>
      </c>
      <c r="H1563" s="129">
        <f t="shared" si="178"/>
        <v>9400000</v>
      </c>
      <c r="I1563" s="129">
        <f t="shared" si="178"/>
        <v>9400000</v>
      </c>
      <c r="J1563" s="111">
        <f t="shared" si="173"/>
        <v>0</v>
      </c>
      <c r="K1563" s="105"/>
    </row>
    <row r="1564" spans="1:11" s="104" customFormat="1" ht="26.4" x14ac:dyDescent="0.3">
      <c r="A1564" s="87">
        <v>1319</v>
      </c>
      <c r="B1564" s="306" t="s">
        <v>2208</v>
      </c>
      <c r="C1564" s="98" t="s">
        <v>2209</v>
      </c>
      <c r="D1564" s="98" t="s">
        <v>137</v>
      </c>
      <c r="E1564" s="99" t="s">
        <v>19</v>
      </c>
      <c r="F1564" s="113">
        <v>2000000</v>
      </c>
      <c r="G1564" s="113">
        <v>0</v>
      </c>
      <c r="H1564" s="111">
        <v>1000000</v>
      </c>
      <c r="I1564" s="111">
        <v>1000000</v>
      </c>
      <c r="J1564" s="111">
        <f t="shared" si="173"/>
        <v>0</v>
      </c>
      <c r="K1564" s="105">
        <v>46082</v>
      </c>
    </row>
    <row r="1565" spans="1:11" s="104" customFormat="1" ht="26.4" x14ac:dyDescent="0.3">
      <c r="A1565" s="87">
        <v>1320</v>
      </c>
      <c r="B1565" s="307"/>
      <c r="C1565" s="98" t="s">
        <v>2210</v>
      </c>
      <c r="D1565" s="98" t="s">
        <v>2211</v>
      </c>
      <c r="E1565" s="99" t="s">
        <v>19</v>
      </c>
      <c r="F1565" s="113">
        <v>12631600</v>
      </c>
      <c r="G1565" s="113">
        <v>12631600</v>
      </c>
      <c r="H1565" s="111">
        <v>0</v>
      </c>
      <c r="I1565" s="111">
        <v>0</v>
      </c>
      <c r="J1565" s="111">
        <f t="shared" si="173"/>
        <v>0</v>
      </c>
      <c r="K1565" s="105">
        <v>46082</v>
      </c>
    </row>
    <row r="1566" spans="1:11" s="104" customFormat="1" x14ac:dyDescent="0.3">
      <c r="A1566" s="302" t="s">
        <v>2027</v>
      </c>
      <c r="B1566" s="303"/>
      <c r="C1566" s="303"/>
      <c r="D1566" s="304"/>
      <c r="E1566" s="90"/>
      <c r="F1566" s="129">
        <f>SUM(F1564:F1565)</f>
        <v>14631600</v>
      </c>
      <c r="G1566" s="129">
        <f t="shared" ref="G1566:I1566" si="179">SUM(G1564:G1565)</f>
        <v>12631600</v>
      </c>
      <c r="H1566" s="129">
        <f t="shared" si="179"/>
        <v>1000000</v>
      </c>
      <c r="I1566" s="129">
        <f t="shared" si="179"/>
        <v>1000000</v>
      </c>
      <c r="J1566" s="129">
        <f t="shared" si="173"/>
        <v>0</v>
      </c>
      <c r="K1566" s="105"/>
    </row>
    <row r="1567" spans="1:11" s="104" customFormat="1" ht="22.5" customHeight="1" x14ac:dyDescent="0.3">
      <c r="A1567" s="87">
        <v>1321</v>
      </c>
      <c r="B1567" s="294" t="s">
        <v>2212</v>
      </c>
      <c r="C1567" s="98" t="s">
        <v>2213</v>
      </c>
      <c r="D1567" s="98" t="s">
        <v>137</v>
      </c>
      <c r="E1567" s="99" t="s">
        <v>19</v>
      </c>
      <c r="F1567" s="113">
        <v>1408923.13</v>
      </c>
      <c r="G1567" s="113">
        <v>297423.13</v>
      </c>
      <c r="H1567" s="111">
        <v>555750</v>
      </c>
      <c r="I1567" s="111">
        <v>555750</v>
      </c>
      <c r="J1567" s="111">
        <f t="shared" si="173"/>
        <v>0</v>
      </c>
      <c r="K1567" s="102" t="s">
        <v>1632</v>
      </c>
    </row>
    <row r="1568" spans="1:11" s="104" customFormat="1" ht="26.4" x14ac:dyDescent="0.3">
      <c r="A1568" s="87">
        <v>1322</v>
      </c>
      <c r="B1568" s="295"/>
      <c r="C1568" s="98" t="s">
        <v>2214</v>
      </c>
      <c r="D1568" s="98" t="s">
        <v>2052</v>
      </c>
      <c r="E1568" s="99" t="s">
        <v>19</v>
      </c>
      <c r="F1568" s="113">
        <v>127266.76</v>
      </c>
      <c r="G1568" s="113">
        <v>63633.38</v>
      </c>
      <c r="H1568" s="111">
        <v>63633.38</v>
      </c>
      <c r="I1568" s="111">
        <v>0</v>
      </c>
      <c r="J1568" s="111">
        <f t="shared" si="173"/>
        <v>0</v>
      </c>
      <c r="K1568" s="102" t="s">
        <v>1638</v>
      </c>
    </row>
    <row r="1569" spans="1:11" s="104" customFormat="1" x14ac:dyDescent="0.3">
      <c r="A1569" s="302" t="s">
        <v>2027</v>
      </c>
      <c r="B1569" s="303"/>
      <c r="C1569" s="303"/>
      <c r="D1569" s="304"/>
      <c r="E1569" s="90"/>
      <c r="F1569" s="129">
        <f>SUM(F1567:F1568)</f>
        <v>1536189.89</v>
      </c>
      <c r="G1569" s="129">
        <f t="shared" ref="G1569:I1569" si="180">SUM(G1567:G1568)</f>
        <v>361056.51</v>
      </c>
      <c r="H1569" s="129">
        <f t="shared" si="180"/>
        <v>619383.38</v>
      </c>
      <c r="I1569" s="129">
        <f t="shared" si="180"/>
        <v>555750</v>
      </c>
      <c r="J1569" s="129">
        <f t="shared" si="173"/>
        <v>0</v>
      </c>
      <c r="K1569" s="105"/>
    </row>
    <row r="1570" spans="1:11" s="104" customFormat="1" ht="26.4" x14ac:dyDescent="0.3">
      <c r="A1570" s="87">
        <v>1323</v>
      </c>
      <c r="B1570" s="294" t="s">
        <v>2215</v>
      </c>
      <c r="C1570" s="98" t="s">
        <v>2216</v>
      </c>
      <c r="D1570" s="98" t="s">
        <v>2084</v>
      </c>
      <c r="E1570" s="99" t="s">
        <v>18</v>
      </c>
      <c r="F1570" s="113">
        <v>17490.88</v>
      </c>
      <c r="G1570" s="113">
        <v>0</v>
      </c>
      <c r="H1570" s="111">
        <v>7950.4</v>
      </c>
      <c r="I1570" s="111">
        <v>9540.48</v>
      </c>
      <c r="J1570" s="111">
        <f t="shared" si="173"/>
        <v>0</v>
      </c>
      <c r="K1570" s="102" t="s">
        <v>1635</v>
      </c>
    </row>
    <row r="1571" spans="1:11" s="104" customFormat="1" ht="39.6" x14ac:dyDescent="0.3">
      <c r="A1571" s="87">
        <v>1324</v>
      </c>
      <c r="B1571" s="305"/>
      <c r="C1571" s="98" t="s">
        <v>2217</v>
      </c>
      <c r="D1571" s="98" t="s">
        <v>2218</v>
      </c>
      <c r="E1571" s="99" t="s">
        <v>695</v>
      </c>
      <c r="F1571" s="113">
        <v>8353290</v>
      </c>
      <c r="G1571" s="113">
        <v>8353290</v>
      </c>
      <c r="H1571" s="111">
        <v>0</v>
      </c>
      <c r="I1571" s="111">
        <v>0</v>
      </c>
      <c r="J1571" s="111">
        <f t="shared" si="173"/>
        <v>0</v>
      </c>
      <c r="K1571" s="102" t="s">
        <v>1635</v>
      </c>
    </row>
    <row r="1572" spans="1:11" s="104" customFormat="1" ht="52.8" x14ac:dyDescent="0.3">
      <c r="A1572" s="87">
        <v>1325</v>
      </c>
      <c r="B1572" s="305"/>
      <c r="C1572" s="98" t="s">
        <v>2219</v>
      </c>
      <c r="D1572" s="98" t="s">
        <v>2220</v>
      </c>
      <c r="E1572" s="99" t="s">
        <v>695</v>
      </c>
      <c r="F1572" s="113">
        <v>16006680</v>
      </c>
      <c r="G1572" s="113">
        <v>16006680</v>
      </c>
      <c r="H1572" s="111">
        <v>0</v>
      </c>
      <c r="I1572" s="111">
        <v>0</v>
      </c>
      <c r="J1572" s="111">
        <f t="shared" si="173"/>
        <v>0</v>
      </c>
      <c r="K1572" s="102" t="s">
        <v>1635</v>
      </c>
    </row>
    <row r="1573" spans="1:11" s="104" customFormat="1" ht="52.8" x14ac:dyDescent="0.3">
      <c r="A1573" s="87">
        <v>1326</v>
      </c>
      <c r="B1573" s="305"/>
      <c r="C1573" s="98" t="s">
        <v>2221</v>
      </c>
      <c r="D1573" s="98" t="s">
        <v>2220</v>
      </c>
      <c r="E1573" s="99" t="s">
        <v>695</v>
      </c>
      <c r="F1573" s="113">
        <v>18111676</v>
      </c>
      <c r="G1573" s="113">
        <v>18111676</v>
      </c>
      <c r="H1573" s="111">
        <v>0</v>
      </c>
      <c r="I1573" s="111">
        <v>0</v>
      </c>
      <c r="J1573" s="111">
        <f t="shared" si="173"/>
        <v>0</v>
      </c>
      <c r="K1573" s="102" t="s">
        <v>1635</v>
      </c>
    </row>
    <row r="1574" spans="1:11" s="104" customFormat="1" ht="52.8" x14ac:dyDescent="0.3">
      <c r="A1574" s="87">
        <v>1327</v>
      </c>
      <c r="B1574" s="305"/>
      <c r="C1574" s="98" t="s">
        <v>2222</v>
      </c>
      <c r="D1574" s="98" t="s">
        <v>2220</v>
      </c>
      <c r="E1574" s="99" t="s">
        <v>695</v>
      </c>
      <c r="F1574" s="113">
        <v>1499888</v>
      </c>
      <c r="G1574" s="113">
        <v>1499888</v>
      </c>
      <c r="H1574" s="111">
        <v>0</v>
      </c>
      <c r="I1574" s="111">
        <v>0</v>
      </c>
      <c r="J1574" s="111">
        <f t="shared" si="173"/>
        <v>0</v>
      </c>
      <c r="K1574" s="102" t="s">
        <v>1635</v>
      </c>
    </row>
    <row r="1575" spans="1:11" s="104" customFormat="1" ht="52.8" x14ac:dyDescent="0.3">
      <c r="A1575" s="87">
        <v>1328</v>
      </c>
      <c r="B1575" s="305"/>
      <c r="C1575" s="98" t="s">
        <v>2223</v>
      </c>
      <c r="D1575" s="98" t="s">
        <v>2220</v>
      </c>
      <c r="E1575" s="99" t="s">
        <v>695</v>
      </c>
      <c r="F1575" s="113">
        <v>1467888</v>
      </c>
      <c r="G1575" s="113">
        <v>1467888</v>
      </c>
      <c r="H1575" s="111">
        <v>0</v>
      </c>
      <c r="I1575" s="111">
        <v>0</v>
      </c>
      <c r="J1575" s="111">
        <f t="shared" si="173"/>
        <v>0</v>
      </c>
      <c r="K1575" s="102" t="s">
        <v>1635</v>
      </c>
    </row>
    <row r="1576" spans="1:11" s="104" customFormat="1" ht="52.8" x14ac:dyDescent="0.3">
      <c r="A1576" s="87">
        <v>1329</v>
      </c>
      <c r="B1576" s="305"/>
      <c r="C1576" s="98" t="s">
        <v>2224</v>
      </c>
      <c r="D1576" s="98" t="s">
        <v>2220</v>
      </c>
      <c r="E1576" s="99" t="s">
        <v>695</v>
      </c>
      <c r="F1576" s="113">
        <v>1100916</v>
      </c>
      <c r="G1576" s="113">
        <v>1100916</v>
      </c>
      <c r="H1576" s="111">
        <v>0</v>
      </c>
      <c r="I1576" s="111">
        <v>0</v>
      </c>
      <c r="J1576" s="111">
        <f t="shared" si="173"/>
        <v>0</v>
      </c>
      <c r="K1576" s="102" t="s">
        <v>1635</v>
      </c>
    </row>
    <row r="1577" spans="1:11" s="104" customFormat="1" ht="52.8" x14ac:dyDescent="0.3">
      <c r="A1577" s="87">
        <v>1330</v>
      </c>
      <c r="B1577" s="305"/>
      <c r="C1577" s="98" t="s">
        <v>2225</v>
      </c>
      <c r="D1577" s="98" t="s">
        <v>2226</v>
      </c>
      <c r="E1577" s="99" t="s">
        <v>695</v>
      </c>
      <c r="F1577" s="113">
        <v>14363840</v>
      </c>
      <c r="G1577" s="113">
        <v>14363840</v>
      </c>
      <c r="H1577" s="111">
        <v>0</v>
      </c>
      <c r="I1577" s="111">
        <v>0</v>
      </c>
      <c r="J1577" s="111">
        <f t="shared" si="173"/>
        <v>0</v>
      </c>
      <c r="K1577" s="102" t="s">
        <v>1635</v>
      </c>
    </row>
    <row r="1578" spans="1:11" s="104" customFormat="1" ht="52.8" x14ac:dyDescent="0.3">
      <c r="A1578" s="87">
        <v>1331</v>
      </c>
      <c r="B1578" s="305"/>
      <c r="C1578" s="98" t="s">
        <v>2227</v>
      </c>
      <c r="D1578" s="98" t="s">
        <v>2226</v>
      </c>
      <c r="E1578" s="99" t="s">
        <v>695</v>
      </c>
      <c r="F1578" s="113">
        <v>10772880</v>
      </c>
      <c r="G1578" s="113">
        <v>10772880</v>
      </c>
      <c r="H1578" s="111">
        <v>0</v>
      </c>
      <c r="I1578" s="111">
        <v>0</v>
      </c>
      <c r="J1578" s="111">
        <f t="shared" si="173"/>
        <v>0</v>
      </c>
      <c r="K1578" s="102" t="s">
        <v>1635</v>
      </c>
    </row>
    <row r="1579" spans="1:11" s="104" customFormat="1" ht="52.8" x14ac:dyDescent="0.3">
      <c r="A1579" s="87">
        <v>1332</v>
      </c>
      <c r="B1579" s="305"/>
      <c r="C1579" s="98" t="s">
        <v>2228</v>
      </c>
      <c r="D1579" s="98" t="s">
        <v>2226</v>
      </c>
      <c r="E1579" s="99" t="s">
        <v>695</v>
      </c>
      <c r="F1579" s="113">
        <v>14363840</v>
      </c>
      <c r="G1579" s="113">
        <v>14363840</v>
      </c>
      <c r="H1579" s="111">
        <v>0</v>
      </c>
      <c r="I1579" s="111">
        <v>0</v>
      </c>
      <c r="J1579" s="111">
        <f t="shared" si="173"/>
        <v>0</v>
      </c>
      <c r="K1579" s="102" t="s">
        <v>1635</v>
      </c>
    </row>
    <row r="1580" spans="1:11" s="104" customFormat="1" ht="52.8" x14ac:dyDescent="0.3">
      <c r="A1580" s="87">
        <v>1333</v>
      </c>
      <c r="B1580" s="305"/>
      <c r="C1580" s="98" t="s">
        <v>2229</v>
      </c>
      <c r="D1580" s="98" t="s">
        <v>2226</v>
      </c>
      <c r="E1580" s="99" t="s">
        <v>695</v>
      </c>
      <c r="F1580" s="113">
        <v>1367412</v>
      </c>
      <c r="G1580" s="113">
        <v>1367412</v>
      </c>
      <c r="H1580" s="111">
        <v>0</v>
      </c>
      <c r="I1580" s="111">
        <v>0</v>
      </c>
      <c r="J1580" s="111">
        <f t="shared" si="173"/>
        <v>0</v>
      </c>
      <c r="K1580" s="102" t="s">
        <v>1635</v>
      </c>
    </row>
    <row r="1581" spans="1:11" s="104" customFormat="1" ht="52.8" x14ac:dyDescent="0.3">
      <c r="A1581" s="87">
        <v>1334</v>
      </c>
      <c r="B1581" s="305"/>
      <c r="C1581" s="98" t="s">
        <v>2230</v>
      </c>
      <c r="D1581" s="98" t="s">
        <v>2231</v>
      </c>
      <c r="E1581" s="99" t="s">
        <v>695</v>
      </c>
      <c r="F1581" s="113">
        <v>4488700</v>
      </c>
      <c r="G1581" s="113">
        <v>4488700</v>
      </c>
      <c r="H1581" s="111">
        <v>0</v>
      </c>
      <c r="I1581" s="111">
        <v>0</v>
      </c>
      <c r="J1581" s="111">
        <f t="shared" si="173"/>
        <v>0</v>
      </c>
      <c r="K1581" s="102" t="s">
        <v>1635</v>
      </c>
    </row>
    <row r="1582" spans="1:11" s="104" customFormat="1" ht="52.8" x14ac:dyDescent="0.3">
      <c r="A1582" s="87">
        <v>1335</v>
      </c>
      <c r="B1582" s="305"/>
      <c r="C1582" s="98" t="s">
        <v>2232</v>
      </c>
      <c r="D1582" s="98" t="s">
        <v>2231</v>
      </c>
      <c r="E1582" s="99" t="s">
        <v>695</v>
      </c>
      <c r="F1582" s="113">
        <v>4488700</v>
      </c>
      <c r="G1582" s="113">
        <v>4488700</v>
      </c>
      <c r="H1582" s="111">
        <v>0</v>
      </c>
      <c r="I1582" s="111">
        <v>0</v>
      </c>
      <c r="J1582" s="111">
        <f t="shared" si="173"/>
        <v>0</v>
      </c>
      <c r="K1582" s="102" t="s">
        <v>1635</v>
      </c>
    </row>
    <row r="1583" spans="1:11" s="104" customFormat="1" ht="52.8" x14ac:dyDescent="0.3">
      <c r="A1583" s="87">
        <v>1336</v>
      </c>
      <c r="B1583" s="305"/>
      <c r="C1583" s="98" t="s">
        <v>2233</v>
      </c>
      <c r="D1583" s="98" t="s">
        <v>2234</v>
      </c>
      <c r="E1583" s="99" t="s">
        <v>695</v>
      </c>
      <c r="F1583" s="113">
        <v>14498944</v>
      </c>
      <c r="G1583" s="113">
        <v>14498944</v>
      </c>
      <c r="H1583" s="111">
        <v>0</v>
      </c>
      <c r="I1583" s="111">
        <v>0</v>
      </c>
      <c r="J1583" s="111">
        <f t="shared" si="173"/>
        <v>0</v>
      </c>
      <c r="K1583" s="102" t="s">
        <v>1635</v>
      </c>
    </row>
    <row r="1584" spans="1:11" s="104" customFormat="1" ht="52.8" x14ac:dyDescent="0.3">
      <c r="A1584" s="87">
        <v>1337</v>
      </c>
      <c r="B1584" s="305"/>
      <c r="C1584" s="98" t="s">
        <v>2235</v>
      </c>
      <c r="D1584" s="98" t="s">
        <v>2234</v>
      </c>
      <c r="E1584" s="99" t="s">
        <v>695</v>
      </c>
      <c r="F1584" s="113">
        <v>14498944</v>
      </c>
      <c r="G1584" s="113">
        <v>14498944</v>
      </c>
      <c r="H1584" s="111">
        <v>0</v>
      </c>
      <c r="I1584" s="111">
        <v>0</v>
      </c>
      <c r="J1584" s="111">
        <f t="shared" si="173"/>
        <v>0</v>
      </c>
      <c r="K1584" s="102" t="s">
        <v>1635</v>
      </c>
    </row>
    <row r="1585" spans="1:11" s="104" customFormat="1" ht="66" x14ac:dyDescent="0.3">
      <c r="A1585" s="87">
        <v>1338</v>
      </c>
      <c r="B1585" s="305"/>
      <c r="C1585" s="98" t="s">
        <v>2236</v>
      </c>
      <c r="D1585" s="98" t="s">
        <v>2237</v>
      </c>
      <c r="E1585" s="99" t="s">
        <v>695</v>
      </c>
      <c r="F1585" s="113">
        <v>4244190</v>
      </c>
      <c r="G1585" s="113">
        <v>4244190</v>
      </c>
      <c r="H1585" s="111">
        <v>0</v>
      </c>
      <c r="I1585" s="111">
        <v>0</v>
      </c>
      <c r="J1585" s="111">
        <f t="shared" si="173"/>
        <v>0</v>
      </c>
      <c r="K1585" s="102" t="s">
        <v>1635</v>
      </c>
    </row>
    <row r="1586" spans="1:11" s="104" customFormat="1" ht="66" x14ac:dyDescent="0.3">
      <c r="A1586" s="87">
        <v>1339</v>
      </c>
      <c r="B1586" s="305"/>
      <c r="C1586" s="98" t="s">
        <v>2238</v>
      </c>
      <c r="D1586" s="98" t="s">
        <v>2237</v>
      </c>
      <c r="E1586" s="99" t="s">
        <v>695</v>
      </c>
      <c r="F1586" s="113">
        <v>2712678</v>
      </c>
      <c r="G1586" s="113">
        <v>2712678</v>
      </c>
      <c r="H1586" s="111">
        <v>0</v>
      </c>
      <c r="I1586" s="111">
        <v>0</v>
      </c>
      <c r="J1586" s="111">
        <f t="shared" si="173"/>
        <v>0</v>
      </c>
      <c r="K1586" s="102" t="s">
        <v>1635</v>
      </c>
    </row>
    <row r="1587" spans="1:11" s="104" customFormat="1" ht="52.8" x14ac:dyDescent="0.3">
      <c r="A1587" s="87">
        <v>1340</v>
      </c>
      <c r="B1587" s="305"/>
      <c r="C1587" s="98" t="s">
        <v>2239</v>
      </c>
      <c r="D1587" s="98" t="s">
        <v>2240</v>
      </c>
      <c r="E1587" s="99" t="s">
        <v>695</v>
      </c>
      <c r="F1587" s="113">
        <v>7181920</v>
      </c>
      <c r="G1587" s="113">
        <v>7181920</v>
      </c>
      <c r="H1587" s="111">
        <v>0</v>
      </c>
      <c r="I1587" s="111">
        <v>0</v>
      </c>
      <c r="J1587" s="111">
        <f t="shared" si="173"/>
        <v>0</v>
      </c>
      <c r="K1587" s="102" t="s">
        <v>1635</v>
      </c>
    </row>
    <row r="1588" spans="1:11" s="104" customFormat="1" ht="58.8" customHeight="1" x14ac:dyDescent="0.3">
      <c r="A1588" s="87">
        <v>1341</v>
      </c>
      <c r="B1588" s="305"/>
      <c r="C1588" s="98" t="s">
        <v>2241</v>
      </c>
      <c r="D1588" s="98" t="s">
        <v>2242</v>
      </c>
      <c r="E1588" s="99" t="s">
        <v>695</v>
      </c>
      <c r="F1588" s="113">
        <v>3590960</v>
      </c>
      <c r="G1588" s="113">
        <v>3590960</v>
      </c>
      <c r="H1588" s="111">
        <v>0</v>
      </c>
      <c r="I1588" s="111">
        <v>0</v>
      </c>
      <c r="J1588" s="111">
        <f t="shared" si="173"/>
        <v>0</v>
      </c>
      <c r="K1588" s="102" t="s">
        <v>1635</v>
      </c>
    </row>
    <row r="1589" spans="1:11" s="104" customFormat="1" ht="52.8" x14ac:dyDescent="0.3">
      <c r="A1589" s="87">
        <v>1342</v>
      </c>
      <c r="B1589" s="295"/>
      <c r="C1589" s="98" t="s">
        <v>2243</v>
      </c>
      <c r="D1589" s="98" t="s">
        <v>2244</v>
      </c>
      <c r="E1589" s="99" t="s">
        <v>695</v>
      </c>
      <c r="F1589" s="113">
        <v>12568360</v>
      </c>
      <c r="G1589" s="113">
        <v>12568360</v>
      </c>
      <c r="H1589" s="111">
        <v>0</v>
      </c>
      <c r="I1589" s="111">
        <v>0</v>
      </c>
      <c r="J1589" s="111">
        <f t="shared" si="173"/>
        <v>0</v>
      </c>
      <c r="K1589" s="102" t="s">
        <v>1635</v>
      </c>
    </row>
    <row r="1590" spans="1:11" s="104" customFormat="1" x14ac:dyDescent="0.3">
      <c r="A1590" s="302" t="s">
        <v>2027</v>
      </c>
      <c r="B1590" s="303"/>
      <c r="C1590" s="303"/>
      <c r="D1590" s="304"/>
      <c r="E1590" s="90"/>
      <c r="F1590" s="129">
        <f>SUM(F1570:F1589)</f>
        <v>155699196.88</v>
      </c>
      <c r="G1590" s="129">
        <f t="shared" ref="G1590" si="181">SUM(G1570:G1589)</f>
        <v>155681706</v>
      </c>
      <c r="H1590" s="129">
        <f>SUM(H1570:H1589)</f>
        <v>7950.4</v>
      </c>
      <c r="I1590" s="129">
        <f t="shared" ref="I1590" si="182">SUM(I1570:I1589)</f>
        <v>9540.48</v>
      </c>
      <c r="J1590" s="129">
        <f t="shared" si="173"/>
        <v>0</v>
      </c>
      <c r="K1590" s="105"/>
    </row>
    <row r="1591" spans="1:11" s="104" customFormat="1" ht="39.6" x14ac:dyDescent="0.3">
      <c r="A1591" s="87">
        <v>1343</v>
      </c>
      <c r="B1591" s="294" t="s">
        <v>2245</v>
      </c>
      <c r="C1591" s="106" t="s">
        <v>2246</v>
      </c>
      <c r="D1591" s="80" t="s">
        <v>2218</v>
      </c>
      <c r="E1591" s="99" t="s">
        <v>695</v>
      </c>
      <c r="F1591" s="111">
        <v>8353290</v>
      </c>
      <c r="G1591" s="112">
        <v>0</v>
      </c>
      <c r="H1591" s="111">
        <v>8353290</v>
      </c>
      <c r="I1591" s="114">
        <v>0</v>
      </c>
      <c r="J1591" s="111">
        <f t="shared" si="173"/>
        <v>0</v>
      </c>
      <c r="K1591" s="102" t="s">
        <v>1672</v>
      </c>
    </row>
    <row r="1592" spans="1:11" s="104" customFormat="1" ht="52.8" x14ac:dyDescent="0.3">
      <c r="A1592" s="87">
        <v>1344</v>
      </c>
      <c r="B1592" s="295"/>
      <c r="C1592" s="106" t="s">
        <v>2247</v>
      </c>
      <c r="D1592" s="80" t="s">
        <v>2248</v>
      </c>
      <c r="E1592" s="99" t="s">
        <v>19</v>
      </c>
      <c r="F1592" s="111">
        <v>12291938.93</v>
      </c>
      <c r="G1592" s="112">
        <v>0</v>
      </c>
      <c r="H1592" s="111">
        <v>12291938.93</v>
      </c>
      <c r="I1592" s="114">
        <v>0</v>
      </c>
      <c r="J1592" s="111">
        <f t="shared" si="173"/>
        <v>0</v>
      </c>
      <c r="K1592" s="102" t="s">
        <v>1672</v>
      </c>
    </row>
    <row r="1593" spans="1:11" s="104" customFormat="1" x14ac:dyDescent="0.3">
      <c r="A1593" s="302" t="s">
        <v>1622</v>
      </c>
      <c r="B1593" s="303"/>
      <c r="C1593" s="303"/>
      <c r="D1593" s="304"/>
      <c r="E1593" s="87"/>
      <c r="F1593" s="129">
        <f>SUM(F1591:F1592)</f>
        <v>20645228.93</v>
      </c>
      <c r="G1593" s="129">
        <f t="shared" ref="G1593:I1593" si="183">SUM(G1591:G1592)</f>
        <v>0</v>
      </c>
      <c r="H1593" s="129">
        <f t="shared" si="183"/>
        <v>20645228.93</v>
      </c>
      <c r="I1593" s="129">
        <f t="shared" si="183"/>
        <v>0</v>
      </c>
      <c r="J1593" s="129">
        <f t="shared" si="173"/>
        <v>0</v>
      </c>
      <c r="K1593" s="105"/>
    </row>
    <row r="1594" spans="1:11" s="104" customFormat="1" ht="39.6" x14ac:dyDescent="0.3">
      <c r="A1594" s="87">
        <v>1345</v>
      </c>
      <c r="B1594" s="294" t="s">
        <v>2245</v>
      </c>
      <c r="C1594" s="80" t="s">
        <v>2249</v>
      </c>
      <c r="D1594" s="80" t="s">
        <v>2218</v>
      </c>
      <c r="E1594" s="99" t="s">
        <v>695</v>
      </c>
      <c r="F1594" s="111">
        <v>8353290</v>
      </c>
      <c r="G1594" s="112">
        <v>0</v>
      </c>
      <c r="H1594" s="112">
        <v>0</v>
      </c>
      <c r="I1594" s="111">
        <v>8353290</v>
      </c>
      <c r="J1594" s="111">
        <f t="shared" si="173"/>
        <v>0</v>
      </c>
      <c r="K1594" s="102" t="s">
        <v>1674</v>
      </c>
    </row>
    <row r="1595" spans="1:11" s="104" customFormat="1" ht="52.8" x14ac:dyDescent="0.3">
      <c r="A1595" s="87">
        <v>1346</v>
      </c>
      <c r="B1595" s="295"/>
      <c r="C1595" s="80" t="s">
        <v>2250</v>
      </c>
      <c r="D1595" s="80" t="s">
        <v>2248</v>
      </c>
      <c r="E1595" s="99" t="s">
        <v>19</v>
      </c>
      <c r="F1595" s="111">
        <v>12291938.93</v>
      </c>
      <c r="G1595" s="112">
        <v>0</v>
      </c>
      <c r="H1595" s="112">
        <v>0</v>
      </c>
      <c r="I1595" s="111">
        <v>12291938.93</v>
      </c>
      <c r="J1595" s="111">
        <f t="shared" si="173"/>
        <v>0</v>
      </c>
      <c r="K1595" s="102" t="s">
        <v>1674</v>
      </c>
    </row>
    <row r="1596" spans="1:11" s="104" customFormat="1" x14ac:dyDescent="0.3">
      <c r="A1596" s="296" t="s">
        <v>2030</v>
      </c>
      <c r="B1596" s="296"/>
      <c r="C1596" s="296"/>
      <c r="D1596" s="296"/>
      <c r="E1596" s="87"/>
      <c r="F1596" s="129">
        <f>SUM(F1594:F1595)</f>
        <v>20645228.93</v>
      </c>
      <c r="G1596" s="129">
        <f t="shared" ref="G1596:I1596" si="184">SUM(G1594:G1595)</f>
        <v>0</v>
      </c>
      <c r="H1596" s="129">
        <f t="shared" si="184"/>
        <v>0</v>
      </c>
      <c r="I1596" s="129">
        <f t="shared" si="184"/>
        <v>20645228.93</v>
      </c>
      <c r="J1596" s="129">
        <f t="shared" si="173"/>
        <v>0</v>
      </c>
      <c r="K1596" s="105"/>
    </row>
    <row r="1597" spans="1:11" s="141" customFormat="1" ht="51" customHeight="1" x14ac:dyDescent="0.3">
      <c r="A1597" s="137">
        <v>1347</v>
      </c>
      <c r="B1597" s="299" t="s">
        <v>2251</v>
      </c>
      <c r="C1597" s="138" t="s">
        <v>2252</v>
      </c>
      <c r="D1597" s="139" t="s">
        <v>2253</v>
      </c>
      <c r="E1597" s="139" t="s">
        <v>695</v>
      </c>
      <c r="F1597" s="207">
        <v>8474.7999999999993</v>
      </c>
      <c r="G1597" s="112">
        <v>0</v>
      </c>
      <c r="H1597" s="112">
        <v>0</v>
      </c>
      <c r="I1597" s="207">
        <v>8474.7999999999993</v>
      </c>
      <c r="J1597" s="112">
        <v>0</v>
      </c>
      <c r="K1597" s="140">
        <v>46296</v>
      </c>
    </row>
    <row r="1598" spans="1:11" s="141" customFormat="1" ht="36.6" customHeight="1" x14ac:dyDescent="0.3">
      <c r="A1598" s="137">
        <v>1348</v>
      </c>
      <c r="B1598" s="300"/>
      <c r="C1598" s="138" t="s">
        <v>2254</v>
      </c>
      <c r="D1598" s="139" t="s">
        <v>2255</v>
      </c>
      <c r="E1598" s="139" t="s">
        <v>695</v>
      </c>
      <c r="F1598" s="207">
        <v>9378</v>
      </c>
      <c r="G1598" s="207">
        <v>9378</v>
      </c>
      <c r="H1598" s="112">
        <v>0</v>
      </c>
      <c r="I1598" s="112">
        <v>0</v>
      </c>
      <c r="J1598" s="112">
        <v>0</v>
      </c>
      <c r="K1598" s="140">
        <v>46113</v>
      </c>
    </row>
    <row r="1599" spans="1:11" s="141" customFormat="1" ht="40.200000000000003" customHeight="1" x14ac:dyDescent="0.3">
      <c r="A1599" s="137">
        <v>1349</v>
      </c>
      <c r="B1599" s="300"/>
      <c r="C1599" s="138" t="s">
        <v>2256</v>
      </c>
      <c r="D1599" s="139" t="s">
        <v>2257</v>
      </c>
      <c r="E1599" s="139" t="s">
        <v>695</v>
      </c>
      <c r="F1599" s="207">
        <v>9443.1200000000008</v>
      </c>
      <c r="G1599" s="207">
        <v>9443.1200000000008</v>
      </c>
      <c r="H1599" s="112">
        <v>0</v>
      </c>
      <c r="I1599" s="112">
        <v>0</v>
      </c>
      <c r="J1599" s="112">
        <v>0</v>
      </c>
      <c r="K1599" s="140">
        <v>46113</v>
      </c>
    </row>
    <row r="1600" spans="1:11" s="141" customFormat="1" ht="40.200000000000003" customHeight="1" x14ac:dyDescent="0.3">
      <c r="A1600" s="137">
        <v>1350</v>
      </c>
      <c r="B1600" s="300"/>
      <c r="C1600" s="138" t="s">
        <v>2258</v>
      </c>
      <c r="D1600" s="139" t="s">
        <v>2259</v>
      </c>
      <c r="E1600" s="139" t="s">
        <v>695</v>
      </c>
      <c r="F1600" s="207">
        <v>94612.44</v>
      </c>
      <c r="G1600" s="207">
        <v>94612.44</v>
      </c>
      <c r="H1600" s="112">
        <v>0</v>
      </c>
      <c r="I1600" s="112">
        <v>0</v>
      </c>
      <c r="J1600" s="112">
        <v>0</v>
      </c>
      <c r="K1600" s="140">
        <v>46113</v>
      </c>
    </row>
    <row r="1601" spans="1:11" s="141" customFormat="1" ht="40.200000000000003" customHeight="1" x14ac:dyDescent="0.3">
      <c r="A1601" s="137">
        <v>1351</v>
      </c>
      <c r="B1601" s="300"/>
      <c r="C1601" s="138" t="s">
        <v>2260</v>
      </c>
      <c r="D1601" s="139" t="s">
        <v>2261</v>
      </c>
      <c r="E1601" s="139" t="s">
        <v>695</v>
      </c>
      <c r="F1601" s="207">
        <v>6450</v>
      </c>
      <c r="G1601" s="207">
        <v>6450</v>
      </c>
      <c r="H1601" s="112">
        <v>0</v>
      </c>
      <c r="I1601" s="112">
        <v>0</v>
      </c>
      <c r="J1601" s="112">
        <v>0</v>
      </c>
      <c r="K1601" s="140">
        <v>46082</v>
      </c>
    </row>
    <row r="1602" spans="1:11" s="141" customFormat="1" ht="40.200000000000003" customHeight="1" x14ac:dyDescent="0.3">
      <c r="A1602" s="137">
        <v>1352</v>
      </c>
      <c r="B1602" s="300"/>
      <c r="C1602" s="138" t="s">
        <v>2262</v>
      </c>
      <c r="D1602" s="139" t="s">
        <v>2263</v>
      </c>
      <c r="E1602" s="139" t="s">
        <v>695</v>
      </c>
      <c r="F1602" s="207">
        <v>8909.7900000000009</v>
      </c>
      <c r="G1602" s="207">
        <v>8909.7900000000009</v>
      </c>
      <c r="H1602" s="112">
        <v>0</v>
      </c>
      <c r="I1602" s="112">
        <v>0</v>
      </c>
      <c r="J1602" s="112">
        <v>0</v>
      </c>
      <c r="K1602" s="140">
        <v>46077</v>
      </c>
    </row>
    <row r="1603" spans="1:11" s="141" customFormat="1" ht="40.200000000000003" customHeight="1" x14ac:dyDescent="0.3">
      <c r="A1603" s="137">
        <v>1353</v>
      </c>
      <c r="B1603" s="300"/>
      <c r="C1603" s="138" t="s">
        <v>2264</v>
      </c>
      <c r="D1603" s="139" t="s">
        <v>2265</v>
      </c>
      <c r="E1603" s="139" t="s">
        <v>695</v>
      </c>
      <c r="F1603" s="207">
        <v>7634.18</v>
      </c>
      <c r="G1603" s="207">
        <v>7634.18</v>
      </c>
      <c r="H1603" s="112">
        <v>0</v>
      </c>
      <c r="I1603" s="112">
        <v>0</v>
      </c>
      <c r="J1603" s="112">
        <v>0</v>
      </c>
      <c r="K1603" s="140">
        <v>46077</v>
      </c>
    </row>
    <row r="1604" spans="1:11" s="141" customFormat="1" ht="51" customHeight="1" x14ac:dyDescent="0.3">
      <c r="A1604" s="137">
        <v>1354</v>
      </c>
      <c r="B1604" s="300"/>
      <c r="C1604" s="138" t="s">
        <v>2266</v>
      </c>
      <c r="D1604" s="139" t="s">
        <v>2267</v>
      </c>
      <c r="E1604" s="139" t="s">
        <v>695</v>
      </c>
      <c r="F1604" s="207">
        <v>15107.76</v>
      </c>
      <c r="G1604" s="207">
        <v>15107.76</v>
      </c>
      <c r="H1604" s="112">
        <v>0</v>
      </c>
      <c r="I1604" s="112">
        <v>0</v>
      </c>
      <c r="J1604" s="112">
        <v>0</v>
      </c>
      <c r="K1604" s="140">
        <v>46077</v>
      </c>
    </row>
    <row r="1605" spans="1:11" s="141" customFormat="1" ht="51" customHeight="1" x14ac:dyDescent="0.3">
      <c r="A1605" s="137">
        <v>1355</v>
      </c>
      <c r="B1605" s="300"/>
      <c r="C1605" s="138" t="s">
        <v>2268</v>
      </c>
      <c r="D1605" s="139" t="s">
        <v>2269</v>
      </c>
      <c r="E1605" s="139" t="s">
        <v>695</v>
      </c>
      <c r="F1605" s="207">
        <v>4402.12</v>
      </c>
      <c r="G1605" s="112">
        <v>0</v>
      </c>
      <c r="H1605" s="112">
        <v>0</v>
      </c>
      <c r="I1605" s="207">
        <v>4402.12</v>
      </c>
      <c r="J1605" s="112">
        <v>0</v>
      </c>
      <c r="K1605" s="140">
        <v>46784</v>
      </c>
    </row>
    <row r="1606" spans="1:11" s="141" customFormat="1" ht="37.200000000000003" customHeight="1" x14ac:dyDescent="0.3">
      <c r="A1606" s="137">
        <v>1356</v>
      </c>
      <c r="B1606" s="300"/>
      <c r="C1606" s="138" t="s">
        <v>2270</v>
      </c>
      <c r="D1606" s="139" t="s">
        <v>2271</v>
      </c>
      <c r="E1606" s="139" t="s">
        <v>695</v>
      </c>
      <c r="F1606" s="207">
        <v>15430.1</v>
      </c>
      <c r="G1606" s="112">
        <v>0</v>
      </c>
      <c r="H1606" s="207">
        <v>15430.1</v>
      </c>
      <c r="I1606" s="112">
        <v>0</v>
      </c>
      <c r="J1606" s="112">
        <v>0</v>
      </c>
      <c r="K1606" s="140">
        <v>46447</v>
      </c>
    </row>
    <row r="1607" spans="1:11" s="141" customFormat="1" ht="37.200000000000003" customHeight="1" x14ac:dyDescent="0.3">
      <c r="A1607" s="137">
        <v>1357</v>
      </c>
      <c r="B1607" s="300"/>
      <c r="C1607" s="138" t="s">
        <v>2272</v>
      </c>
      <c r="D1607" s="139" t="s">
        <v>2273</v>
      </c>
      <c r="E1607" s="139" t="s">
        <v>695</v>
      </c>
      <c r="F1607" s="207">
        <f>G1607+H1607+I1607</f>
        <v>15879.74</v>
      </c>
      <c r="G1607" s="112">
        <v>0</v>
      </c>
      <c r="H1607" s="207">
        <v>15879.74</v>
      </c>
      <c r="I1607" s="112">
        <v>0</v>
      </c>
      <c r="J1607" s="112">
        <v>0</v>
      </c>
      <c r="K1607" s="140">
        <v>46296</v>
      </c>
    </row>
    <row r="1608" spans="1:11" s="141" customFormat="1" ht="28.2" customHeight="1" x14ac:dyDescent="0.3">
      <c r="A1608" s="137">
        <v>1358</v>
      </c>
      <c r="B1608" s="300"/>
      <c r="C1608" s="138" t="s">
        <v>2274</v>
      </c>
      <c r="D1608" s="139" t="s">
        <v>2275</v>
      </c>
      <c r="E1608" s="139" t="s">
        <v>19</v>
      </c>
      <c r="F1608" s="207">
        <f t="shared" ref="F1608:F1631" si="185">G1608+H1608+I1608</f>
        <v>3662.67</v>
      </c>
      <c r="G1608" s="207">
        <v>3662.67</v>
      </c>
      <c r="H1608" s="112">
        <v>0</v>
      </c>
      <c r="I1608" s="112">
        <v>0</v>
      </c>
      <c r="J1608" s="112">
        <v>0</v>
      </c>
      <c r="K1608" s="140">
        <v>46143</v>
      </c>
    </row>
    <row r="1609" spans="1:11" s="141" customFormat="1" ht="28.2" customHeight="1" x14ac:dyDescent="0.3">
      <c r="A1609" s="137">
        <v>1359</v>
      </c>
      <c r="B1609" s="300"/>
      <c r="C1609" s="138" t="s">
        <v>2276</v>
      </c>
      <c r="D1609" s="139" t="s">
        <v>367</v>
      </c>
      <c r="E1609" s="139" t="s">
        <v>19</v>
      </c>
      <c r="F1609" s="207">
        <f t="shared" si="185"/>
        <v>2452.6999999999998</v>
      </c>
      <c r="G1609" s="207">
        <v>2452.6999999999998</v>
      </c>
      <c r="H1609" s="112">
        <v>0</v>
      </c>
      <c r="I1609" s="112">
        <v>0</v>
      </c>
      <c r="J1609" s="112">
        <v>0</v>
      </c>
      <c r="K1609" s="140">
        <v>46143</v>
      </c>
    </row>
    <row r="1610" spans="1:11" s="141" customFormat="1" ht="46.2" customHeight="1" x14ac:dyDescent="0.3">
      <c r="A1610" s="137">
        <v>1360</v>
      </c>
      <c r="B1610" s="300"/>
      <c r="C1610" s="138" t="s">
        <v>2277</v>
      </c>
      <c r="D1610" s="139" t="s">
        <v>2278</v>
      </c>
      <c r="E1610" s="139" t="s">
        <v>695</v>
      </c>
      <c r="F1610" s="207">
        <f t="shared" si="185"/>
        <v>9717.7099999999991</v>
      </c>
      <c r="G1610" s="112">
        <v>0</v>
      </c>
      <c r="H1610" s="112">
        <v>0</v>
      </c>
      <c r="I1610" s="207">
        <v>9717.7099999999991</v>
      </c>
      <c r="J1610" s="112">
        <v>0</v>
      </c>
      <c r="K1610" s="140">
        <v>46784</v>
      </c>
    </row>
    <row r="1611" spans="1:11" s="141" customFormat="1" ht="39" customHeight="1" x14ac:dyDescent="0.3">
      <c r="A1611" s="137">
        <v>1361</v>
      </c>
      <c r="B1611" s="300"/>
      <c r="C1611" s="138" t="s">
        <v>2279</v>
      </c>
      <c r="D1611" s="139" t="s">
        <v>2280</v>
      </c>
      <c r="E1611" s="139" t="s">
        <v>19</v>
      </c>
      <c r="F1611" s="207">
        <f t="shared" si="185"/>
        <v>1161.03</v>
      </c>
      <c r="G1611" s="207">
        <v>1161.03</v>
      </c>
      <c r="H1611" s="112">
        <v>0</v>
      </c>
      <c r="I1611" s="112">
        <v>0</v>
      </c>
      <c r="J1611" s="112">
        <v>0</v>
      </c>
      <c r="K1611" s="140">
        <v>46077</v>
      </c>
    </row>
    <row r="1612" spans="1:11" s="141" customFormat="1" ht="39" customHeight="1" x14ac:dyDescent="0.3">
      <c r="A1612" s="137">
        <v>1362</v>
      </c>
      <c r="B1612" s="300"/>
      <c r="C1612" s="138" t="s">
        <v>2281</v>
      </c>
      <c r="D1612" s="139" t="s">
        <v>2282</v>
      </c>
      <c r="E1612" s="139" t="s">
        <v>19</v>
      </c>
      <c r="F1612" s="207">
        <f t="shared" si="185"/>
        <v>676</v>
      </c>
      <c r="G1612" s="207">
        <v>676</v>
      </c>
      <c r="H1612" s="112">
        <v>0</v>
      </c>
      <c r="I1612" s="112">
        <v>0</v>
      </c>
      <c r="J1612" s="112">
        <v>0</v>
      </c>
      <c r="K1612" s="140">
        <v>46082</v>
      </c>
    </row>
    <row r="1613" spans="1:11" s="141" customFormat="1" ht="39" customHeight="1" x14ac:dyDescent="0.3">
      <c r="A1613" s="137">
        <v>1363</v>
      </c>
      <c r="B1613" s="300"/>
      <c r="C1613" s="138" t="s">
        <v>2283</v>
      </c>
      <c r="D1613" s="139" t="s">
        <v>2284</v>
      </c>
      <c r="E1613" s="139" t="s">
        <v>19</v>
      </c>
      <c r="F1613" s="207">
        <f t="shared" si="185"/>
        <v>1591.94</v>
      </c>
      <c r="G1613" s="207"/>
      <c r="H1613" s="207">
        <v>1591.94</v>
      </c>
      <c r="I1613" s="112">
        <v>0</v>
      </c>
      <c r="J1613" s="112">
        <v>0</v>
      </c>
      <c r="K1613" s="140">
        <v>46266</v>
      </c>
    </row>
    <row r="1614" spans="1:11" s="141" customFormat="1" ht="39" customHeight="1" x14ac:dyDescent="0.3">
      <c r="A1614" s="137">
        <v>1364</v>
      </c>
      <c r="B1614" s="300"/>
      <c r="C1614" s="138" t="s">
        <v>2285</v>
      </c>
      <c r="D1614" s="139" t="s">
        <v>2286</v>
      </c>
      <c r="E1614" s="139" t="s">
        <v>19</v>
      </c>
      <c r="F1614" s="207">
        <f t="shared" si="185"/>
        <v>2091.1</v>
      </c>
      <c r="G1614" s="207">
        <v>952.3</v>
      </c>
      <c r="H1614" s="207">
        <v>1138.8</v>
      </c>
      <c r="I1614" s="112">
        <v>0</v>
      </c>
      <c r="J1614" s="112">
        <v>0</v>
      </c>
      <c r="K1614" s="140">
        <v>46266</v>
      </c>
    </row>
    <row r="1615" spans="1:11" s="141" customFormat="1" ht="39" customHeight="1" x14ac:dyDescent="0.3">
      <c r="A1615" s="137">
        <v>1365</v>
      </c>
      <c r="B1615" s="300"/>
      <c r="C1615" s="138" t="s">
        <v>2287</v>
      </c>
      <c r="D1615" s="139" t="s">
        <v>2288</v>
      </c>
      <c r="E1615" s="139" t="s">
        <v>695</v>
      </c>
      <c r="F1615" s="207">
        <f t="shared" si="185"/>
        <v>5573.08</v>
      </c>
      <c r="G1615" s="207">
        <v>5573.08</v>
      </c>
      <c r="H1615" s="112">
        <v>0</v>
      </c>
      <c r="I1615" s="112">
        <v>0</v>
      </c>
      <c r="J1615" s="112">
        <v>0</v>
      </c>
      <c r="K1615" s="140">
        <v>46054</v>
      </c>
    </row>
    <row r="1616" spans="1:11" s="141" customFormat="1" ht="39" customHeight="1" x14ac:dyDescent="0.3">
      <c r="A1616" s="137">
        <v>1366</v>
      </c>
      <c r="B1616" s="300"/>
      <c r="C1616" s="138" t="s">
        <v>2289</v>
      </c>
      <c r="D1616" s="139" t="s">
        <v>2290</v>
      </c>
      <c r="E1616" s="139" t="s">
        <v>695</v>
      </c>
      <c r="F1616" s="207">
        <f t="shared" si="185"/>
        <v>2651.5</v>
      </c>
      <c r="G1616" s="207">
        <v>2651.5</v>
      </c>
      <c r="H1616" s="112">
        <v>0</v>
      </c>
      <c r="I1616" s="112">
        <v>0</v>
      </c>
      <c r="J1616" s="112">
        <v>0</v>
      </c>
      <c r="K1616" s="140">
        <v>46204</v>
      </c>
    </row>
    <row r="1617" spans="1:11" s="141" customFormat="1" ht="46.2" customHeight="1" x14ac:dyDescent="0.3">
      <c r="A1617" s="137">
        <v>1367</v>
      </c>
      <c r="B1617" s="300"/>
      <c r="C1617" s="138" t="s">
        <v>2291</v>
      </c>
      <c r="D1617" s="139" t="s">
        <v>2292</v>
      </c>
      <c r="E1617" s="139" t="s">
        <v>695</v>
      </c>
      <c r="F1617" s="207">
        <f t="shared" si="185"/>
        <v>6639.67</v>
      </c>
      <c r="G1617" s="207">
        <v>6639.67</v>
      </c>
      <c r="H1617" s="112">
        <v>0</v>
      </c>
      <c r="I1617" s="112">
        <v>0</v>
      </c>
      <c r="J1617" s="112">
        <v>0</v>
      </c>
      <c r="K1617" s="140">
        <v>46082</v>
      </c>
    </row>
    <row r="1618" spans="1:11" s="141" customFormat="1" ht="46.2" customHeight="1" x14ac:dyDescent="0.3">
      <c r="A1618" s="137">
        <v>1368</v>
      </c>
      <c r="B1618" s="300"/>
      <c r="C1618" s="138" t="s">
        <v>2293</v>
      </c>
      <c r="D1618" s="139" t="s">
        <v>2294</v>
      </c>
      <c r="E1618" s="139" t="s">
        <v>695</v>
      </c>
      <c r="F1618" s="207">
        <f t="shared" si="185"/>
        <v>1010.47</v>
      </c>
      <c r="G1618" s="207">
        <v>1010.47</v>
      </c>
      <c r="H1618" s="112">
        <v>0</v>
      </c>
      <c r="I1618" s="112">
        <v>0</v>
      </c>
      <c r="J1618" s="112">
        <v>0</v>
      </c>
      <c r="K1618" s="140">
        <v>46082</v>
      </c>
    </row>
    <row r="1619" spans="1:11" s="141" customFormat="1" ht="46.2" customHeight="1" x14ac:dyDescent="0.3">
      <c r="A1619" s="137">
        <v>1369</v>
      </c>
      <c r="B1619" s="300"/>
      <c r="C1619" s="138" t="s">
        <v>2295</v>
      </c>
      <c r="D1619" s="139" t="s">
        <v>2296</v>
      </c>
      <c r="E1619" s="139" t="s">
        <v>695</v>
      </c>
      <c r="F1619" s="207">
        <f t="shared" si="185"/>
        <v>11279.37</v>
      </c>
      <c r="G1619" s="207"/>
      <c r="H1619" s="207">
        <v>11279.37</v>
      </c>
      <c r="I1619" s="112">
        <v>0</v>
      </c>
      <c r="J1619" s="112">
        <v>0</v>
      </c>
      <c r="K1619" s="140">
        <v>46419</v>
      </c>
    </row>
    <row r="1620" spans="1:11" s="141" customFormat="1" ht="67.8" customHeight="1" x14ac:dyDescent="0.3">
      <c r="A1620" s="137">
        <v>1370</v>
      </c>
      <c r="B1620" s="300"/>
      <c r="C1620" s="138" t="s">
        <v>2297</v>
      </c>
      <c r="D1620" s="139" t="s">
        <v>2298</v>
      </c>
      <c r="E1620" s="139" t="s">
        <v>695</v>
      </c>
      <c r="F1620" s="207">
        <f t="shared" si="185"/>
        <v>3774.04</v>
      </c>
      <c r="G1620" s="207">
        <v>3774.04</v>
      </c>
      <c r="H1620" s="112">
        <v>0</v>
      </c>
      <c r="I1620" s="112">
        <v>0</v>
      </c>
      <c r="J1620" s="112">
        <v>0</v>
      </c>
      <c r="K1620" s="140">
        <v>46054</v>
      </c>
    </row>
    <row r="1621" spans="1:11" s="141" customFormat="1" ht="51" customHeight="1" x14ac:dyDescent="0.3">
      <c r="A1621" s="137">
        <v>1371</v>
      </c>
      <c r="B1621" s="300"/>
      <c r="C1621" s="138" t="s">
        <v>2299</v>
      </c>
      <c r="D1621" s="139" t="s">
        <v>2300</v>
      </c>
      <c r="E1621" s="139" t="s">
        <v>695</v>
      </c>
      <c r="F1621" s="207">
        <f t="shared" si="185"/>
        <v>12958.43</v>
      </c>
      <c r="G1621" s="207">
        <v>12958.43</v>
      </c>
      <c r="H1621" s="112">
        <v>0</v>
      </c>
      <c r="I1621" s="112">
        <v>0</v>
      </c>
      <c r="J1621" s="112">
        <v>0</v>
      </c>
      <c r="K1621" s="140">
        <v>46054</v>
      </c>
    </row>
    <row r="1622" spans="1:11" s="141" customFormat="1" ht="51" customHeight="1" x14ac:dyDescent="0.3">
      <c r="A1622" s="137">
        <v>1372</v>
      </c>
      <c r="B1622" s="300"/>
      <c r="C1622" s="138" t="s">
        <v>2301</v>
      </c>
      <c r="D1622" s="139" t="s">
        <v>2302</v>
      </c>
      <c r="E1622" s="139" t="s">
        <v>695</v>
      </c>
      <c r="F1622" s="207">
        <f t="shared" si="185"/>
        <v>6882.95</v>
      </c>
      <c r="G1622" s="207">
        <v>6882.95</v>
      </c>
      <c r="H1622" s="112">
        <v>0</v>
      </c>
      <c r="I1622" s="112">
        <v>0</v>
      </c>
      <c r="J1622" s="112">
        <v>0</v>
      </c>
      <c r="K1622" s="140">
        <v>46113</v>
      </c>
    </row>
    <row r="1623" spans="1:11" s="141" customFormat="1" ht="41.4" customHeight="1" x14ac:dyDescent="0.3">
      <c r="A1623" s="137">
        <v>1373</v>
      </c>
      <c r="B1623" s="300"/>
      <c r="C1623" s="138" t="s">
        <v>2303</v>
      </c>
      <c r="D1623" s="139" t="s">
        <v>2304</v>
      </c>
      <c r="E1623" s="139" t="s">
        <v>695</v>
      </c>
      <c r="F1623" s="207">
        <f t="shared" si="185"/>
        <v>3140.06</v>
      </c>
      <c r="G1623" s="207">
        <v>3140.06</v>
      </c>
      <c r="H1623" s="112">
        <v>0</v>
      </c>
      <c r="I1623" s="112">
        <v>0</v>
      </c>
      <c r="J1623" s="112">
        <v>0</v>
      </c>
      <c r="K1623" s="140">
        <v>46054</v>
      </c>
    </row>
    <row r="1624" spans="1:11" s="141" customFormat="1" ht="41.4" customHeight="1" x14ac:dyDescent="0.3">
      <c r="A1624" s="137">
        <v>1374</v>
      </c>
      <c r="B1624" s="300"/>
      <c r="C1624" s="138" t="s">
        <v>2305</v>
      </c>
      <c r="D1624" s="139" t="s">
        <v>2306</v>
      </c>
      <c r="E1624" s="139" t="s">
        <v>695</v>
      </c>
      <c r="F1624" s="207">
        <f t="shared" si="185"/>
        <v>6034.02</v>
      </c>
      <c r="G1624" s="207">
        <v>6034.02</v>
      </c>
      <c r="H1624" s="112">
        <v>0</v>
      </c>
      <c r="I1624" s="112">
        <v>0</v>
      </c>
      <c r="J1624" s="112">
        <v>0</v>
      </c>
      <c r="K1624" s="140">
        <v>46054</v>
      </c>
    </row>
    <row r="1625" spans="1:11" s="141" customFormat="1" ht="41.4" customHeight="1" x14ac:dyDescent="0.3">
      <c r="A1625" s="137">
        <v>1375</v>
      </c>
      <c r="B1625" s="300"/>
      <c r="C1625" s="138" t="s">
        <v>2307</v>
      </c>
      <c r="D1625" s="139" t="s">
        <v>2308</v>
      </c>
      <c r="E1625" s="139" t="s">
        <v>695</v>
      </c>
      <c r="F1625" s="207">
        <f t="shared" si="185"/>
        <v>11864.08</v>
      </c>
      <c r="G1625" s="112">
        <v>0</v>
      </c>
      <c r="H1625" s="207">
        <v>11864.08</v>
      </c>
      <c r="I1625" s="112">
        <v>0</v>
      </c>
      <c r="J1625" s="112">
        <v>0</v>
      </c>
      <c r="K1625" s="140">
        <v>46447</v>
      </c>
    </row>
    <row r="1626" spans="1:11" s="141" customFormat="1" ht="41.4" customHeight="1" x14ac:dyDescent="0.3">
      <c r="A1626" s="137">
        <v>1376</v>
      </c>
      <c r="B1626" s="300"/>
      <c r="C1626" s="138" t="s">
        <v>2309</v>
      </c>
      <c r="D1626" s="139" t="s">
        <v>2310</v>
      </c>
      <c r="E1626" s="139" t="s">
        <v>695</v>
      </c>
      <c r="F1626" s="207">
        <f t="shared" si="185"/>
        <v>6432.34</v>
      </c>
      <c r="G1626" s="112">
        <v>0</v>
      </c>
      <c r="H1626" s="207">
        <v>6432.34</v>
      </c>
      <c r="I1626" s="112">
        <v>0</v>
      </c>
      <c r="J1626" s="112">
        <v>0</v>
      </c>
      <c r="K1626" s="140">
        <v>46447</v>
      </c>
    </row>
    <row r="1627" spans="1:11" s="141" customFormat="1" ht="41.4" customHeight="1" x14ac:dyDescent="0.3">
      <c r="A1627" s="137">
        <v>1377</v>
      </c>
      <c r="B1627" s="300"/>
      <c r="C1627" s="138" t="s">
        <v>2311</v>
      </c>
      <c r="D1627" s="139" t="s">
        <v>2312</v>
      </c>
      <c r="E1627" s="139" t="s">
        <v>695</v>
      </c>
      <c r="F1627" s="207">
        <f t="shared" si="185"/>
        <v>6747.77</v>
      </c>
      <c r="G1627" s="112">
        <v>0</v>
      </c>
      <c r="H1627" s="207">
        <v>6747.77</v>
      </c>
      <c r="I1627" s="112">
        <v>0</v>
      </c>
      <c r="J1627" s="112">
        <v>0</v>
      </c>
      <c r="K1627" s="140">
        <v>46447</v>
      </c>
    </row>
    <row r="1628" spans="1:11" s="141" customFormat="1" ht="39" customHeight="1" x14ac:dyDescent="0.3">
      <c r="A1628" s="137">
        <v>1378</v>
      </c>
      <c r="B1628" s="300"/>
      <c r="C1628" s="138" t="s">
        <v>2313</v>
      </c>
      <c r="D1628" s="139" t="s">
        <v>2314</v>
      </c>
      <c r="E1628" s="139" t="s">
        <v>695</v>
      </c>
      <c r="F1628" s="207">
        <f t="shared" si="185"/>
        <v>11693.39</v>
      </c>
      <c r="G1628" s="112">
        <v>0</v>
      </c>
      <c r="H1628" s="207">
        <v>11693.39</v>
      </c>
      <c r="I1628" s="112">
        <v>0</v>
      </c>
      <c r="J1628" s="112">
        <v>0</v>
      </c>
      <c r="K1628" s="140">
        <v>46447</v>
      </c>
    </row>
    <row r="1629" spans="1:11" s="141" customFormat="1" ht="69" customHeight="1" x14ac:dyDescent="0.3">
      <c r="A1629" s="137">
        <v>1379</v>
      </c>
      <c r="B1629" s="300"/>
      <c r="C1629" s="138" t="s">
        <v>2315</v>
      </c>
      <c r="D1629" s="139" t="s">
        <v>2316</v>
      </c>
      <c r="E1629" s="139" t="s">
        <v>695</v>
      </c>
      <c r="F1629" s="207">
        <f t="shared" si="185"/>
        <v>2027.16</v>
      </c>
      <c r="G1629" s="207">
        <v>2027.16</v>
      </c>
      <c r="H1629" s="112">
        <v>0</v>
      </c>
      <c r="I1629" s="112">
        <v>0</v>
      </c>
      <c r="J1629" s="112">
        <v>0</v>
      </c>
      <c r="K1629" s="140">
        <v>46054</v>
      </c>
    </row>
    <row r="1630" spans="1:11" s="141" customFormat="1" ht="67.8" customHeight="1" x14ac:dyDescent="0.3">
      <c r="A1630" s="137">
        <v>1380</v>
      </c>
      <c r="B1630" s="300"/>
      <c r="C1630" s="138" t="s">
        <v>2317</v>
      </c>
      <c r="D1630" s="139" t="s">
        <v>2318</v>
      </c>
      <c r="E1630" s="139" t="s">
        <v>695</v>
      </c>
      <c r="F1630" s="207">
        <f t="shared" si="185"/>
        <v>15725.49</v>
      </c>
      <c r="G1630" s="112">
        <v>0</v>
      </c>
      <c r="H1630" s="207">
        <v>15725.49</v>
      </c>
      <c r="I1630" s="112">
        <v>0</v>
      </c>
      <c r="J1630" s="112">
        <v>0</v>
      </c>
      <c r="K1630" s="140">
        <v>46447</v>
      </c>
    </row>
    <row r="1631" spans="1:11" s="141" customFormat="1" ht="19.2" customHeight="1" x14ac:dyDescent="0.3">
      <c r="A1631" s="137">
        <v>1381</v>
      </c>
      <c r="B1631" s="301"/>
      <c r="C1631" s="138" t="s">
        <v>2319</v>
      </c>
      <c r="D1631" s="139" t="s">
        <v>2320</v>
      </c>
      <c r="E1631" s="139" t="s">
        <v>19</v>
      </c>
      <c r="F1631" s="207">
        <f t="shared" si="185"/>
        <v>4041.99</v>
      </c>
      <c r="G1631" s="207">
        <v>1347.33</v>
      </c>
      <c r="H1631" s="207">
        <v>1347.33</v>
      </c>
      <c r="I1631" s="207">
        <v>1347.33</v>
      </c>
      <c r="J1631" s="112">
        <v>0</v>
      </c>
      <c r="K1631" s="140">
        <v>46082</v>
      </c>
    </row>
    <row r="1632" spans="1:11" s="141" customFormat="1" ht="69" customHeight="1" x14ac:dyDescent="0.3">
      <c r="A1632" s="137">
        <v>1382</v>
      </c>
      <c r="B1632" s="299" t="s">
        <v>2321</v>
      </c>
      <c r="C1632" s="142" t="s">
        <v>2322</v>
      </c>
      <c r="D1632" s="148" t="s">
        <v>2323</v>
      </c>
      <c r="E1632" s="139" t="s">
        <v>19</v>
      </c>
      <c r="F1632" s="208">
        <v>108.5</v>
      </c>
      <c r="G1632" s="208">
        <v>108.5</v>
      </c>
      <c r="H1632" s="112">
        <v>0</v>
      </c>
      <c r="I1632" s="112">
        <v>0</v>
      </c>
      <c r="J1632" s="112">
        <v>0</v>
      </c>
      <c r="K1632" s="142" t="s">
        <v>1635</v>
      </c>
    </row>
    <row r="1633" spans="1:11" s="141" customFormat="1" ht="51" customHeight="1" x14ac:dyDescent="0.3">
      <c r="A1633" s="137">
        <v>1383</v>
      </c>
      <c r="B1633" s="300"/>
      <c r="C1633" s="142" t="s">
        <v>2324</v>
      </c>
      <c r="D1633" s="148" t="s">
        <v>2325</v>
      </c>
      <c r="E1633" s="139" t="s">
        <v>19</v>
      </c>
      <c r="F1633" s="208">
        <v>16133.33</v>
      </c>
      <c r="G1633" s="208">
        <v>16133.33</v>
      </c>
      <c r="H1633" s="112">
        <v>0</v>
      </c>
      <c r="I1633" s="112">
        <v>0</v>
      </c>
      <c r="J1633" s="112">
        <v>0</v>
      </c>
      <c r="K1633" s="142" t="s">
        <v>1635</v>
      </c>
    </row>
    <row r="1634" spans="1:11" s="141" customFormat="1" ht="34.200000000000003" customHeight="1" x14ac:dyDescent="0.3">
      <c r="A1634" s="137">
        <v>1384</v>
      </c>
      <c r="B1634" s="300"/>
      <c r="C1634" s="142" t="s">
        <v>2326</v>
      </c>
      <c r="D1634" s="148" t="s">
        <v>2327</v>
      </c>
      <c r="E1634" s="139" t="s">
        <v>19</v>
      </c>
      <c r="F1634" s="208">
        <v>3833.33</v>
      </c>
      <c r="G1634" s="208">
        <v>3833.33</v>
      </c>
      <c r="H1634" s="112">
        <v>0</v>
      </c>
      <c r="I1634" s="112">
        <v>0</v>
      </c>
      <c r="J1634" s="112">
        <v>0</v>
      </c>
      <c r="K1634" s="142" t="s">
        <v>1638</v>
      </c>
    </row>
    <row r="1635" spans="1:11" s="141" customFormat="1" ht="34.200000000000003" customHeight="1" x14ac:dyDescent="0.3">
      <c r="A1635" s="137">
        <v>1385</v>
      </c>
      <c r="B1635" s="300"/>
      <c r="C1635" s="142" t="s">
        <v>2328</v>
      </c>
      <c r="D1635" s="148" t="s">
        <v>2329</v>
      </c>
      <c r="E1635" s="139" t="s">
        <v>19</v>
      </c>
      <c r="F1635" s="208">
        <v>820.98</v>
      </c>
      <c r="G1635" s="208">
        <v>820.98</v>
      </c>
      <c r="H1635" s="112">
        <v>0</v>
      </c>
      <c r="I1635" s="112">
        <v>0</v>
      </c>
      <c r="J1635" s="112">
        <v>0</v>
      </c>
      <c r="K1635" s="142" t="s">
        <v>1686</v>
      </c>
    </row>
    <row r="1636" spans="1:11" s="141" customFormat="1" ht="41.4" customHeight="1" x14ac:dyDescent="0.3">
      <c r="A1636" s="137">
        <v>1386</v>
      </c>
      <c r="B1636" s="300"/>
      <c r="C1636" s="142" t="s">
        <v>2330</v>
      </c>
      <c r="D1636" s="148" t="s">
        <v>2331</v>
      </c>
      <c r="E1636" s="139" t="s">
        <v>19</v>
      </c>
      <c r="F1636" s="208">
        <v>8831.1</v>
      </c>
      <c r="G1636" s="208">
        <v>8831.1</v>
      </c>
      <c r="H1636" s="112">
        <v>0</v>
      </c>
      <c r="I1636" s="112">
        <v>0</v>
      </c>
      <c r="J1636" s="112">
        <v>0</v>
      </c>
      <c r="K1636" s="142" t="s">
        <v>2037</v>
      </c>
    </row>
    <row r="1637" spans="1:11" s="141" customFormat="1" ht="51" customHeight="1" x14ac:dyDescent="0.3">
      <c r="A1637" s="137">
        <v>1387</v>
      </c>
      <c r="B1637" s="300"/>
      <c r="C1637" s="142" t="s">
        <v>2332</v>
      </c>
      <c r="D1637" s="148" t="s">
        <v>2363</v>
      </c>
      <c r="E1637" s="139" t="s">
        <v>19</v>
      </c>
      <c r="F1637" s="208">
        <v>6495.02</v>
      </c>
      <c r="G1637" s="208">
        <v>6495.02</v>
      </c>
      <c r="H1637" s="112">
        <v>0</v>
      </c>
      <c r="I1637" s="112">
        <v>0</v>
      </c>
      <c r="J1637" s="112">
        <v>0</v>
      </c>
      <c r="K1637" s="143" t="s">
        <v>1632</v>
      </c>
    </row>
    <row r="1638" spans="1:11" s="141" customFormat="1" ht="37.799999999999997" customHeight="1" x14ac:dyDescent="0.3">
      <c r="A1638" s="137">
        <v>1388</v>
      </c>
      <c r="B1638" s="301"/>
      <c r="C1638" s="138" t="s">
        <v>2333</v>
      </c>
      <c r="D1638" s="139" t="s">
        <v>2334</v>
      </c>
      <c r="E1638" s="139" t="s">
        <v>19</v>
      </c>
      <c r="F1638" s="207">
        <v>595.01</v>
      </c>
      <c r="G1638" s="207">
        <v>595.01</v>
      </c>
      <c r="H1638" s="112">
        <v>0</v>
      </c>
      <c r="I1638" s="112">
        <v>0</v>
      </c>
      <c r="J1638" s="112">
        <v>0</v>
      </c>
      <c r="K1638" s="143" t="s">
        <v>2037</v>
      </c>
    </row>
    <row r="1639" spans="1:11" s="141" customFormat="1" ht="22.2" customHeight="1" x14ac:dyDescent="0.3">
      <c r="A1639" s="284" t="s">
        <v>1628</v>
      </c>
      <c r="B1639" s="285"/>
      <c r="C1639" s="297"/>
      <c r="D1639" s="139"/>
      <c r="E1639" s="144"/>
      <c r="F1639" s="209">
        <f>G1639+H1639+I1639</f>
        <v>372368.28</v>
      </c>
      <c r="G1639" s="209">
        <f>SUM(G1597:G1638)</f>
        <v>249295.97</v>
      </c>
      <c r="H1639" s="209">
        <f t="shared" ref="H1639:I1639" si="186">SUM(H1597:H1638)</f>
        <v>99130.35000000002</v>
      </c>
      <c r="I1639" s="209">
        <f t="shared" si="186"/>
        <v>23941.96</v>
      </c>
      <c r="J1639" s="112">
        <v>0</v>
      </c>
      <c r="K1639" s="144"/>
    </row>
    <row r="1640" spans="1:11" s="141" customFormat="1" ht="31.8" customHeight="1" x14ac:dyDescent="0.3">
      <c r="A1640" s="71">
        <v>1389</v>
      </c>
      <c r="B1640" s="299" t="s">
        <v>2251</v>
      </c>
      <c r="C1640" s="138" t="s">
        <v>2335</v>
      </c>
      <c r="D1640" s="139" t="s">
        <v>2284</v>
      </c>
      <c r="E1640" s="139" t="s">
        <v>19</v>
      </c>
      <c r="F1640" s="207">
        <f>G1640+H1640+I1640</f>
        <v>1719.6</v>
      </c>
      <c r="G1640" s="112">
        <v>0</v>
      </c>
      <c r="H1640" s="112">
        <v>0</v>
      </c>
      <c r="I1640" s="207">
        <v>1719.6</v>
      </c>
      <c r="J1640" s="112">
        <v>0</v>
      </c>
      <c r="K1640" s="140">
        <v>46631</v>
      </c>
    </row>
    <row r="1641" spans="1:11" s="141" customFormat="1" ht="31.8" customHeight="1" x14ac:dyDescent="0.3">
      <c r="A1641" s="71">
        <v>1390</v>
      </c>
      <c r="B1641" s="300"/>
      <c r="C1641" s="138" t="s">
        <v>2336</v>
      </c>
      <c r="D1641" s="139" t="s">
        <v>2286</v>
      </c>
      <c r="E1641" s="139" t="s">
        <v>19</v>
      </c>
      <c r="F1641" s="207">
        <f t="shared" ref="F1641:F1643" si="187">G1641+H1641+I1641</f>
        <v>1141.92</v>
      </c>
      <c r="G1641" s="112">
        <v>0</v>
      </c>
      <c r="H1641" s="112">
        <v>0</v>
      </c>
      <c r="I1641" s="207">
        <v>1141.92</v>
      </c>
      <c r="J1641" s="112">
        <v>0</v>
      </c>
      <c r="K1641" s="140">
        <v>46631</v>
      </c>
    </row>
    <row r="1642" spans="1:11" s="141" customFormat="1" ht="31.8" customHeight="1" x14ac:dyDescent="0.3">
      <c r="A1642" s="71">
        <v>1391</v>
      </c>
      <c r="B1642" s="300"/>
      <c r="C1642" s="138" t="s">
        <v>2337</v>
      </c>
      <c r="D1642" s="139" t="s">
        <v>2280</v>
      </c>
      <c r="E1642" s="139" t="s">
        <v>19</v>
      </c>
      <c r="F1642" s="207">
        <f t="shared" si="187"/>
        <v>1828.62</v>
      </c>
      <c r="G1642" s="112">
        <v>0</v>
      </c>
      <c r="H1642" s="207">
        <v>1828.62</v>
      </c>
      <c r="I1642" s="112">
        <v>0</v>
      </c>
      <c r="J1642" s="112">
        <v>0</v>
      </c>
      <c r="K1642" s="140">
        <v>46266</v>
      </c>
    </row>
    <row r="1643" spans="1:11" s="141" customFormat="1" ht="31.8" customHeight="1" x14ac:dyDescent="0.3">
      <c r="A1643" s="71">
        <v>1392</v>
      </c>
      <c r="B1643" s="301"/>
      <c r="C1643" s="138" t="s">
        <v>2338</v>
      </c>
      <c r="D1643" s="139" t="s">
        <v>367</v>
      </c>
      <c r="E1643" s="139" t="s">
        <v>19</v>
      </c>
      <c r="F1643" s="207">
        <f t="shared" si="187"/>
        <v>2452.6999999999998</v>
      </c>
      <c r="G1643" s="112">
        <v>0</v>
      </c>
      <c r="H1643" s="207">
        <v>2452.6999999999998</v>
      </c>
      <c r="I1643" s="112">
        <v>0</v>
      </c>
      <c r="J1643" s="112">
        <v>0</v>
      </c>
      <c r="K1643" s="140">
        <v>46266</v>
      </c>
    </row>
    <row r="1644" spans="1:11" s="141" customFormat="1" ht="51" customHeight="1" x14ac:dyDescent="0.3">
      <c r="A1644" s="71">
        <v>1393</v>
      </c>
      <c r="B1644" s="299" t="s">
        <v>2339</v>
      </c>
      <c r="C1644" s="138" t="s">
        <v>2340</v>
      </c>
      <c r="D1644" s="145" t="s">
        <v>2334</v>
      </c>
      <c r="E1644" s="139" t="s">
        <v>19</v>
      </c>
      <c r="F1644" s="207">
        <v>595.01</v>
      </c>
      <c r="G1644" s="112">
        <v>0</v>
      </c>
      <c r="H1644" s="207">
        <v>595.01</v>
      </c>
      <c r="I1644" s="112">
        <v>0</v>
      </c>
      <c r="J1644" s="112">
        <v>0</v>
      </c>
      <c r="K1644" s="140">
        <v>46508</v>
      </c>
    </row>
    <row r="1645" spans="1:11" s="141" customFormat="1" ht="64.8" customHeight="1" x14ac:dyDescent="0.3">
      <c r="A1645" s="71">
        <v>1394</v>
      </c>
      <c r="B1645" s="300"/>
      <c r="C1645" s="138" t="s">
        <v>2341</v>
      </c>
      <c r="D1645" s="148" t="s">
        <v>2323</v>
      </c>
      <c r="E1645" s="139" t="s">
        <v>19</v>
      </c>
      <c r="F1645" s="207">
        <v>108.5</v>
      </c>
      <c r="G1645" s="112">
        <v>0</v>
      </c>
      <c r="H1645" s="207">
        <v>108.5</v>
      </c>
      <c r="I1645" s="112">
        <v>0</v>
      </c>
      <c r="J1645" s="112">
        <v>0</v>
      </c>
      <c r="K1645" s="140">
        <v>46388</v>
      </c>
    </row>
    <row r="1646" spans="1:11" s="141" customFormat="1" ht="51" customHeight="1" x14ac:dyDescent="0.3">
      <c r="A1646" s="71">
        <v>1395</v>
      </c>
      <c r="B1646" s="300"/>
      <c r="C1646" s="138" t="s">
        <v>2342</v>
      </c>
      <c r="D1646" s="139" t="s">
        <v>2343</v>
      </c>
      <c r="E1646" s="139" t="s">
        <v>19</v>
      </c>
      <c r="F1646" s="207">
        <v>239</v>
      </c>
      <c r="G1646" s="112">
        <v>0</v>
      </c>
      <c r="H1646" s="207">
        <v>239</v>
      </c>
      <c r="I1646" s="112">
        <v>0</v>
      </c>
      <c r="J1646" s="112">
        <v>0</v>
      </c>
      <c r="K1646" s="140">
        <v>46388</v>
      </c>
    </row>
    <row r="1647" spans="1:11" s="141" customFormat="1" ht="51" customHeight="1" x14ac:dyDescent="0.3">
      <c r="A1647" s="71">
        <v>1396</v>
      </c>
      <c r="B1647" s="300"/>
      <c r="C1647" s="138" t="s">
        <v>2344</v>
      </c>
      <c r="D1647" s="139" t="s">
        <v>2345</v>
      </c>
      <c r="E1647" s="139" t="s">
        <v>19</v>
      </c>
      <c r="F1647" s="207">
        <v>104</v>
      </c>
      <c r="G1647" s="112">
        <v>0</v>
      </c>
      <c r="H1647" s="207">
        <v>104</v>
      </c>
      <c r="I1647" s="112">
        <v>0</v>
      </c>
      <c r="J1647" s="112">
        <v>0</v>
      </c>
      <c r="K1647" s="140">
        <v>46388</v>
      </c>
    </row>
    <row r="1648" spans="1:11" s="141" customFormat="1" ht="51" customHeight="1" x14ac:dyDescent="0.3">
      <c r="A1648" s="71">
        <v>1397</v>
      </c>
      <c r="B1648" s="300"/>
      <c r="C1648" s="138" t="s">
        <v>2346</v>
      </c>
      <c r="D1648" s="145" t="s">
        <v>2347</v>
      </c>
      <c r="E1648" s="139" t="s">
        <v>19</v>
      </c>
      <c r="F1648" s="207">
        <v>1628</v>
      </c>
      <c r="G1648" s="112">
        <v>0</v>
      </c>
      <c r="H1648" s="207">
        <v>1628</v>
      </c>
      <c r="I1648" s="112">
        <v>0</v>
      </c>
      <c r="J1648" s="112">
        <v>0</v>
      </c>
      <c r="K1648" s="140">
        <v>46419</v>
      </c>
    </row>
    <row r="1649" spans="1:12" s="141" customFormat="1" ht="51" customHeight="1" x14ac:dyDescent="0.3">
      <c r="A1649" s="71">
        <v>1398</v>
      </c>
      <c r="B1649" s="300"/>
      <c r="C1649" s="138" t="s">
        <v>2348</v>
      </c>
      <c r="D1649" s="139" t="s">
        <v>2331</v>
      </c>
      <c r="E1649" s="139" t="s">
        <v>19</v>
      </c>
      <c r="F1649" s="207">
        <v>12581.67</v>
      </c>
      <c r="G1649" s="112">
        <v>0</v>
      </c>
      <c r="H1649" s="207">
        <f>F1649</f>
        <v>12581.67</v>
      </c>
      <c r="I1649" s="112">
        <v>0</v>
      </c>
      <c r="J1649" s="112">
        <v>0</v>
      </c>
      <c r="K1649" s="140">
        <v>46478</v>
      </c>
    </row>
    <row r="1650" spans="1:12" s="141" customFormat="1" ht="51" customHeight="1" x14ac:dyDescent="0.3">
      <c r="A1650" s="71">
        <v>1399</v>
      </c>
      <c r="B1650" s="300"/>
      <c r="C1650" s="138" t="s">
        <v>2349</v>
      </c>
      <c r="D1650" s="139" t="s">
        <v>2350</v>
      </c>
      <c r="E1650" s="139" t="s">
        <v>19</v>
      </c>
      <c r="F1650" s="207">
        <v>9530.61</v>
      </c>
      <c r="G1650" s="112">
        <v>0</v>
      </c>
      <c r="H1650" s="207">
        <f>F1650</f>
        <v>9530.61</v>
      </c>
      <c r="I1650" s="112">
        <v>0</v>
      </c>
      <c r="J1650" s="112">
        <v>0</v>
      </c>
      <c r="K1650" s="140">
        <v>46478</v>
      </c>
    </row>
    <row r="1651" spans="1:12" s="141" customFormat="1" ht="51" customHeight="1" x14ac:dyDescent="0.3">
      <c r="A1651" s="71">
        <v>1400</v>
      </c>
      <c r="B1651" s="300"/>
      <c r="C1651" s="138" t="s">
        <v>2351</v>
      </c>
      <c r="D1651" s="139" t="s">
        <v>2352</v>
      </c>
      <c r="E1651" s="139" t="s">
        <v>19</v>
      </c>
      <c r="F1651" s="207">
        <v>4598.7299999999996</v>
      </c>
      <c r="G1651" s="112">
        <v>0</v>
      </c>
      <c r="H1651" s="207">
        <f>F1651</f>
        <v>4598.7299999999996</v>
      </c>
      <c r="I1651" s="112">
        <v>0</v>
      </c>
      <c r="J1651" s="112">
        <v>0</v>
      </c>
      <c r="K1651" s="140">
        <v>46508</v>
      </c>
    </row>
    <row r="1652" spans="1:12" s="141" customFormat="1" ht="51" customHeight="1" x14ac:dyDescent="0.3">
      <c r="A1652" s="71">
        <v>1401</v>
      </c>
      <c r="B1652" s="301"/>
      <c r="C1652" s="138" t="s">
        <v>2353</v>
      </c>
      <c r="D1652" s="139" t="s">
        <v>2354</v>
      </c>
      <c r="E1652" s="139" t="s">
        <v>19</v>
      </c>
      <c r="F1652" s="207">
        <v>16133.33</v>
      </c>
      <c r="G1652" s="112">
        <v>0</v>
      </c>
      <c r="H1652" s="207">
        <f>F1652</f>
        <v>16133.33</v>
      </c>
      <c r="I1652" s="112">
        <v>0</v>
      </c>
      <c r="J1652" s="112">
        <v>0</v>
      </c>
      <c r="K1652" s="140">
        <v>46388</v>
      </c>
    </row>
    <row r="1653" spans="1:12" s="141" customFormat="1" ht="21" customHeight="1" x14ac:dyDescent="0.3">
      <c r="A1653" s="298" t="s">
        <v>1622</v>
      </c>
      <c r="B1653" s="298"/>
      <c r="C1653" s="298"/>
      <c r="D1653" s="144"/>
      <c r="E1653" s="144"/>
      <c r="F1653" s="209">
        <f>SUM(G1653:J1653)</f>
        <v>52661.689999999995</v>
      </c>
      <c r="G1653" s="209">
        <f>SUM(G1640:G1652)</f>
        <v>0</v>
      </c>
      <c r="H1653" s="209">
        <f>SUM(H1640:H1652)</f>
        <v>49800.17</v>
      </c>
      <c r="I1653" s="209">
        <f>SUM(I1640:I1652)</f>
        <v>2861.52</v>
      </c>
      <c r="J1653" s="112">
        <v>0</v>
      </c>
      <c r="K1653" s="144"/>
      <c r="L1653" s="146"/>
    </row>
    <row r="1654" spans="1:12" s="141" customFormat="1" ht="51" customHeight="1" x14ac:dyDescent="0.3">
      <c r="A1654" s="71">
        <v>1402</v>
      </c>
      <c r="B1654" s="299" t="s">
        <v>2251</v>
      </c>
      <c r="C1654" s="138" t="s">
        <v>2355</v>
      </c>
      <c r="D1654" s="139" t="s">
        <v>2280</v>
      </c>
      <c r="E1654" s="139" t="s">
        <v>19</v>
      </c>
      <c r="F1654" s="207">
        <f t="shared" ref="F1654:F1655" si="188">G1654+H1654+I1654</f>
        <v>1889.08</v>
      </c>
      <c r="G1654" s="112">
        <v>0</v>
      </c>
      <c r="H1654" s="112">
        <v>0</v>
      </c>
      <c r="I1654" s="207">
        <v>1889.08</v>
      </c>
      <c r="J1654" s="112">
        <v>0</v>
      </c>
      <c r="K1654" s="140">
        <v>46784</v>
      </c>
    </row>
    <row r="1655" spans="1:12" s="141" customFormat="1" ht="51" customHeight="1" x14ac:dyDescent="0.3">
      <c r="A1655" s="71">
        <v>1403</v>
      </c>
      <c r="B1655" s="301"/>
      <c r="C1655" s="138" t="s">
        <v>2356</v>
      </c>
      <c r="D1655" s="139" t="s">
        <v>367</v>
      </c>
      <c r="E1655" s="139" t="s">
        <v>19</v>
      </c>
      <c r="F1655" s="207">
        <f t="shared" si="188"/>
        <v>2452.02</v>
      </c>
      <c r="G1655" s="112">
        <v>0</v>
      </c>
      <c r="H1655" s="112">
        <v>0</v>
      </c>
      <c r="I1655" s="207">
        <v>2452.02</v>
      </c>
      <c r="J1655" s="112">
        <v>0</v>
      </c>
      <c r="K1655" s="140">
        <v>46784</v>
      </c>
    </row>
    <row r="1656" spans="1:12" s="141" customFormat="1" ht="51" customHeight="1" x14ac:dyDescent="0.3">
      <c r="A1656" s="71">
        <v>1404</v>
      </c>
      <c r="B1656" s="299" t="s">
        <v>2321</v>
      </c>
      <c r="C1656" s="143" t="s">
        <v>2357</v>
      </c>
      <c r="D1656" s="147" t="s">
        <v>2334</v>
      </c>
      <c r="E1656" s="71" t="s">
        <v>19</v>
      </c>
      <c r="F1656" s="207">
        <v>595.01</v>
      </c>
      <c r="G1656" s="112">
        <v>0</v>
      </c>
      <c r="H1656" s="112">
        <v>0</v>
      </c>
      <c r="I1656" s="207">
        <f>F1656</f>
        <v>595.01</v>
      </c>
      <c r="J1656" s="112">
        <v>0</v>
      </c>
      <c r="K1656" s="140">
        <v>46874</v>
      </c>
    </row>
    <row r="1657" spans="1:12" s="141" customFormat="1" ht="63.6" customHeight="1" x14ac:dyDescent="0.3">
      <c r="A1657" s="71">
        <v>1405</v>
      </c>
      <c r="B1657" s="300"/>
      <c r="C1657" s="143" t="s">
        <v>2358</v>
      </c>
      <c r="D1657" s="148" t="s">
        <v>2323</v>
      </c>
      <c r="E1657" s="71" t="s">
        <v>19</v>
      </c>
      <c r="F1657" s="207">
        <v>108.5</v>
      </c>
      <c r="G1657" s="112">
        <v>0</v>
      </c>
      <c r="H1657" s="112">
        <v>0</v>
      </c>
      <c r="I1657" s="207">
        <f t="shared" ref="I1657:I1661" si="189">F1657</f>
        <v>108.5</v>
      </c>
      <c r="J1657" s="112">
        <v>0</v>
      </c>
      <c r="K1657" s="140">
        <v>46753</v>
      </c>
    </row>
    <row r="1658" spans="1:12" s="141" customFormat="1" ht="51" customHeight="1" x14ac:dyDescent="0.3">
      <c r="A1658" s="71">
        <v>1406</v>
      </c>
      <c r="B1658" s="300"/>
      <c r="C1658" s="143" t="s">
        <v>2359</v>
      </c>
      <c r="D1658" s="71" t="s">
        <v>2343</v>
      </c>
      <c r="E1658" s="71" t="s">
        <v>19</v>
      </c>
      <c r="F1658" s="207">
        <v>239</v>
      </c>
      <c r="G1658" s="112">
        <v>0</v>
      </c>
      <c r="H1658" s="112">
        <v>0</v>
      </c>
      <c r="I1658" s="207">
        <f t="shared" si="189"/>
        <v>239</v>
      </c>
      <c r="J1658" s="112">
        <v>0</v>
      </c>
      <c r="K1658" s="140">
        <v>46753</v>
      </c>
    </row>
    <row r="1659" spans="1:12" s="141" customFormat="1" ht="51" customHeight="1" x14ac:dyDescent="0.3">
      <c r="A1659" s="71">
        <v>1407</v>
      </c>
      <c r="B1659" s="300"/>
      <c r="C1659" s="143" t="s">
        <v>2360</v>
      </c>
      <c r="D1659" s="71" t="s">
        <v>2345</v>
      </c>
      <c r="E1659" s="71" t="s">
        <v>19</v>
      </c>
      <c r="F1659" s="207">
        <v>104</v>
      </c>
      <c r="G1659" s="112">
        <v>0</v>
      </c>
      <c r="H1659" s="112">
        <v>0</v>
      </c>
      <c r="I1659" s="207">
        <f>F1659</f>
        <v>104</v>
      </c>
      <c r="J1659" s="112">
        <v>0</v>
      </c>
      <c r="K1659" s="140">
        <v>46753</v>
      </c>
    </row>
    <row r="1660" spans="1:12" s="141" customFormat="1" ht="51" customHeight="1" x14ac:dyDescent="0.3">
      <c r="A1660" s="71">
        <v>1408</v>
      </c>
      <c r="B1660" s="300"/>
      <c r="C1660" s="143" t="s">
        <v>2361</v>
      </c>
      <c r="D1660" s="147" t="s">
        <v>2347</v>
      </c>
      <c r="E1660" s="71" t="s">
        <v>19</v>
      </c>
      <c r="F1660" s="207">
        <v>1628</v>
      </c>
      <c r="G1660" s="112">
        <v>0</v>
      </c>
      <c r="H1660" s="112">
        <v>0</v>
      </c>
      <c r="I1660" s="207">
        <f t="shared" si="189"/>
        <v>1628</v>
      </c>
      <c r="J1660" s="112">
        <v>0</v>
      </c>
      <c r="K1660" s="140">
        <v>46784</v>
      </c>
    </row>
    <row r="1661" spans="1:12" s="141" customFormat="1" ht="51" customHeight="1" x14ac:dyDescent="0.3">
      <c r="A1661" s="71">
        <v>1409</v>
      </c>
      <c r="B1661" s="301"/>
      <c r="C1661" s="143" t="s">
        <v>2362</v>
      </c>
      <c r="D1661" s="71" t="s">
        <v>2354</v>
      </c>
      <c r="E1661" s="71" t="s">
        <v>19</v>
      </c>
      <c r="F1661" s="207">
        <v>16133.33</v>
      </c>
      <c r="G1661" s="112">
        <v>0</v>
      </c>
      <c r="H1661" s="112">
        <v>0</v>
      </c>
      <c r="I1661" s="207">
        <f t="shared" si="189"/>
        <v>16133.33</v>
      </c>
      <c r="J1661" s="112">
        <v>0</v>
      </c>
      <c r="K1661" s="140">
        <v>46753</v>
      </c>
    </row>
    <row r="1662" spans="1:12" s="141" customFormat="1" ht="18.600000000000001" customHeight="1" x14ac:dyDescent="0.3">
      <c r="A1662" s="298" t="s">
        <v>1675</v>
      </c>
      <c r="B1662" s="298"/>
      <c r="C1662" s="298"/>
      <c r="D1662" s="144"/>
      <c r="E1662" s="144"/>
      <c r="F1662" s="209">
        <f>SUM(G1662:J1662)</f>
        <v>23148.940000000002</v>
      </c>
      <c r="G1662" s="209">
        <f t="shared" ref="G1662:H1662" si="190">SUM(G1654:G1661)</f>
        <v>0</v>
      </c>
      <c r="H1662" s="209">
        <f t="shared" si="190"/>
        <v>0</v>
      </c>
      <c r="I1662" s="209">
        <f>SUM(I1654:I1661)</f>
        <v>23148.940000000002</v>
      </c>
      <c r="J1662" s="209">
        <f>SUM(J1654:J1661)</f>
        <v>0</v>
      </c>
      <c r="K1662" s="144"/>
    </row>
    <row r="1663" spans="1:12" s="141" customFormat="1" ht="30" customHeight="1" x14ac:dyDescent="0.3">
      <c r="A1663" s="71">
        <v>1410</v>
      </c>
      <c r="B1663" s="278" t="s">
        <v>2364</v>
      </c>
      <c r="C1663" s="150" t="s">
        <v>2365</v>
      </c>
      <c r="D1663" s="150" t="s">
        <v>2366</v>
      </c>
      <c r="E1663" s="151" t="s">
        <v>1246</v>
      </c>
      <c r="F1663" s="208">
        <f>95166.63/1000</f>
        <v>95.166629999999998</v>
      </c>
      <c r="G1663" s="208">
        <f>95166.63/1000</f>
        <v>95.166629999999998</v>
      </c>
      <c r="H1663" s="235">
        <v>0</v>
      </c>
      <c r="I1663" s="235">
        <v>0</v>
      </c>
      <c r="J1663" s="235">
        <v>0</v>
      </c>
      <c r="K1663" s="143" t="s">
        <v>2460</v>
      </c>
    </row>
    <row r="1664" spans="1:12" s="141" customFormat="1" ht="32.25" customHeight="1" x14ac:dyDescent="0.3">
      <c r="A1664" s="71">
        <v>1411</v>
      </c>
      <c r="B1664" s="279"/>
      <c r="C1664" s="150" t="s">
        <v>2367</v>
      </c>
      <c r="D1664" s="150" t="s">
        <v>2368</v>
      </c>
      <c r="E1664" s="151" t="s">
        <v>2369</v>
      </c>
      <c r="F1664" s="208">
        <f>302549.34/1000</f>
        <v>302.54934000000003</v>
      </c>
      <c r="G1664" s="208">
        <f>302549.34/1000</f>
        <v>302.54934000000003</v>
      </c>
      <c r="H1664" s="235">
        <v>0</v>
      </c>
      <c r="I1664" s="235">
        <v>0</v>
      </c>
      <c r="J1664" s="235">
        <v>0</v>
      </c>
      <c r="K1664" s="143" t="s">
        <v>166</v>
      </c>
    </row>
    <row r="1665" spans="1:13" s="141" customFormat="1" ht="31.5" customHeight="1" x14ac:dyDescent="0.3">
      <c r="A1665" s="71">
        <v>1412</v>
      </c>
      <c r="B1665" s="279"/>
      <c r="C1665" s="150" t="s">
        <v>2370</v>
      </c>
      <c r="D1665" s="150" t="s">
        <v>137</v>
      </c>
      <c r="E1665" s="151" t="s">
        <v>1246</v>
      </c>
      <c r="F1665" s="208">
        <f>1497389.08/1000</f>
        <v>1497.3890800000001</v>
      </c>
      <c r="G1665" s="208">
        <f>1497389.08/1000</f>
        <v>1497.3890800000001</v>
      </c>
      <c r="H1665" s="235">
        <v>0</v>
      </c>
      <c r="I1665" s="235">
        <v>0</v>
      </c>
      <c r="J1665" s="235">
        <v>0</v>
      </c>
      <c r="K1665" s="143" t="s">
        <v>166</v>
      </c>
    </row>
    <row r="1666" spans="1:13" s="141" customFormat="1" ht="36" x14ac:dyDescent="0.3">
      <c r="A1666" s="71">
        <v>1413</v>
      </c>
      <c r="B1666" s="279"/>
      <c r="C1666" s="150" t="s">
        <v>2371</v>
      </c>
      <c r="D1666" s="150" t="s">
        <v>2372</v>
      </c>
      <c r="E1666" s="151" t="s">
        <v>2373</v>
      </c>
      <c r="F1666" s="208">
        <f>160333.42/1000</f>
        <v>160.33342000000002</v>
      </c>
      <c r="G1666" s="208">
        <f>160333.42/1000</f>
        <v>160.33342000000002</v>
      </c>
      <c r="H1666" s="235">
        <v>0</v>
      </c>
      <c r="I1666" s="235">
        <v>0</v>
      </c>
      <c r="J1666" s="235">
        <v>0</v>
      </c>
      <c r="K1666" s="143" t="s">
        <v>2460</v>
      </c>
    </row>
    <row r="1667" spans="1:13" s="141" customFormat="1" ht="36.75" customHeight="1" x14ac:dyDescent="0.3">
      <c r="A1667" s="71">
        <v>1414</v>
      </c>
      <c r="B1667" s="279"/>
      <c r="C1667" s="150" t="s">
        <v>2374</v>
      </c>
      <c r="D1667" s="150" t="s">
        <v>2375</v>
      </c>
      <c r="E1667" s="151" t="s">
        <v>1246</v>
      </c>
      <c r="F1667" s="208">
        <f>198000/1000</f>
        <v>198</v>
      </c>
      <c r="G1667" s="208">
        <f>198000/1000</f>
        <v>198</v>
      </c>
      <c r="H1667" s="235">
        <v>0</v>
      </c>
      <c r="I1667" s="235">
        <v>0</v>
      </c>
      <c r="J1667" s="235">
        <v>0</v>
      </c>
      <c r="K1667" s="143" t="s">
        <v>166</v>
      </c>
    </row>
    <row r="1668" spans="1:13" s="141" customFormat="1" ht="34.5" customHeight="1" x14ac:dyDescent="0.3">
      <c r="A1668" s="71">
        <v>1415</v>
      </c>
      <c r="B1668" s="279"/>
      <c r="C1668" s="150" t="s">
        <v>2376</v>
      </c>
      <c r="D1668" s="150" t="s">
        <v>2377</v>
      </c>
      <c r="E1668" s="151" t="s">
        <v>1246</v>
      </c>
      <c r="F1668" s="208">
        <f>79850887.39/1000</f>
        <v>79850.887390000004</v>
      </c>
      <c r="G1668" s="208">
        <f>79850887.39/1000</f>
        <v>79850.887390000004</v>
      </c>
      <c r="H1668" s="235">
        <v>0</v>
      </c>
      <c r="I1668" s="235">
        <v>0</v>
      </c>
      <c r="J1668" s="235">
        <v>0</v>
      </c>
      <c r="K1668" s="143" t="s">
        <v>166</v>
      </c>
    </row>
    <row r="1669" spans="1:13" s="141" customFormat="1" ht="44.25" customHeight="1" x14ac:dyDescent="0.3">
      <c r="A1669" s="71">
        <v>1416</v>
      </c>
      <c r="B1669" s="279"/>
      <c r="C1669" s="150" t="s">
        <v>2378</v>
      </c>
      <c r="D1669" s="150" t="s">
        <v>2379</v>
      </c>
      <c r="E1669" s="151" t="s">
        <v>1246</v>
      </c>
      <c r="F1669" s="208">
        <f>96051741/1000</f>
        <v>96051.740999999995</v>
      </c>
      <c r="G1669" s="208">
        <f>96051741/1000</f>
        <v>96051.740999999995</v>
      </c>
      <c r="H1669" s="235">
        <v>0</v>
      </c>
      <c r="I1669" s="235">
        <v>0</v>
      </c>
      <c r="J1669" s="235">
        <v>0</v>
      </c>
      <c r="K1669" s="143" t="s">
        <v>166</v>
      </c>
    </row>
    <row r="1670" spans="1:13" s="141" customFormat="1" ht="19.8" customHeight="1" x14ac:dyDescent="0.3">
      <c r="A1670" s="284" t="s">
        <v>1628</v>
      </c>
      <c r="B1670" s="285"/>
      <c r="C1670" s="285"/>
      <c r="D1670" s="286"/>
      <c r="E1670" s="287"/>
      <c r="F1670" s="210">
        <f>SUM(G1670:J1670)</f>
        <v>178156.06685999999</v>
      </c>
      <c r="G1670" s="213">
        <f>SUM(G1663:G1669)</f>
        <v>178156.06685999999</v>
      </c>
      <c r="H1670" s="213">
        <f t="shared" ref="H1670:J1670" si="191">SUM(H1663:H1669)</f>
        <v>0</v>
      </c>
      <c r="I1670" s="213">
        <f t="shared" si="191"/>
        <v>0</v>
      </c>
      <c r="J1670" s="213">
        <f t="shared" si="191"/>
        <v>0</v>
      </c>
      <c r="K1670" s="144"/>
    </row>
    <row r="1671" spans="1:13" s="141" customFormat="1" ht="39.6" customHeight="1" x14ac:dyDescent="0.3">
      <c r="A1671" s="71">
        <v>1417</v>
      </c>
      <c r="B1671" s="278" t="s">
        <v>2364</v>
      </c>
      <c r="C1671" s="150" t="s">
        <v>2380</v>
      </c>
      <c r="D1671" s="150" t="s">
        <v>2366</v>
      </c>
      <c r="E1671" s="151" t="s">
        <v>1246</v>
      </c>
      <c r="F1671" s="211">
        <f>455666.62/1000</f>
        <v>455.66662000000002</v>
      </c>
      <c r="G1671" s="236">
        <v>0</v>
      </c>
      <c r="H1671" s="211">
        <f>455666.62/1000</f>
        <v>455.66662000000002</v>
      </c>
      <c r="I1671" s="235">
        <v>0</v>
      </c>
      <c r="J1671" s="235">
        <v>0</v>
      </c>
      <c r="K1671" s="143" t="s">
        <v>333</v>
      </c>
    </row>
    <row r="1672" spans="1:13" s="141" customFormat="1" ht="39.6" customHeight="1" x14ac:dyDescent="0.3">
      <c r="A1672" s="71">
        <v>1418</v>
      </c>
      <c r="B1672" s="279"/>
      <c r="C1672" s="150" t="s">
        <v>2381</v>
      </c>
      <c r="D1672" s="150" t="s">
        <v>2368</v>
      </c>
      <c r="E1672" s="151" t="s">
        <v>2369</v>
      </c>
      <c r="F1672" s="211">
        <f>302549.34/1000</f>
        <v>302.54934000000003</v>
      </c>
      <c r="G1672" s="236">
        <v>0</v>
      </c>
      <c r="H1672" s="211">
        <f>302549.34/1000</f>
        <v>302.54934000000003</v>
      </c>
      <c r="I1672" s="235">
        <v>0</v>
      </c>
      <c r="J1672" s="235">
        <v>0</v>
      </c>
      <c r="K1672" s="143" t="s">
        <v>2461</v>
      </c>
    </row>
    <row r="1673" spans="1:13" s="141" customFormat="1" ht="39.6" customHeight="1" x14ac:dyDescent="0.3">
      <c r="A1673" s="71">
        <v>1419</v>
      </c>
      <c r="B1673" s="279"/>
      <c r="C1673" s="150" t="s">
        <v>2382</v>
      </c>
      <c r="D1673" s="150" t="s">
        <v>137</v>
      </c>
      <c r="E1673" s="151" t="s">
        <v>1246</v>
      </c>
      <c r="F1673" s="211">
        <f>5221983.32/1000</f>
        <v>5221.9833200000003</v>
      </c>
      <c r="G1673" s="236">
        <v>0</v>
      </c>
      <c r="H1673" s="211">
        <f>5221983.32/1000</f>
        <v>5221.9833200000003</v>
      </c>
      <c r="I1673" s="235">
        <v>0</v>
      </c>
      <c r="J1673" s="235">
        <v>0</v>
      </c>
      <c r="K1673" s="143" t="s">
        <v>333</v>
      </c>
    </row>
    <row r="1674" spans="1:13" s="141" customFormat="1" ht="39.6" customHeight="1" x14ac:dyDescent="0.3">
      <c r="A1674" s="71">
        <v>1420</v>
      </c>
      <c r="B1674" s="279"/>
      <c r="C1674" s="150" t="s">
        <v>2383</v>
      </c>
      <c r="D1674" s="150" t="s">
        <v>2377</v>
      </c>
      <c r="E1674" s="151" t="s">
        <v>1246</v>
      </c>
      <c r="F1674" s="211">
        <f>146915371.42/1000</f>
        <v>146915.37141999998</v>
      </c>
      <c r="G1674" s="236">
        <v>0</v>
      </c>
      <c r="H1674" s="211">
        <f>146915371.42/1000</f>
        <v>146915.37141999998</v>
      </c>
      <c r="I1674" s="235">
        <v>0</v>
      </c>
      <c r="J1674" s="235">
        <v>0</v>
      </c>
      <c r="K1674" s="143" t="s">
        <v>2461</v>
      </c>
    </row>
    <row r="1675" spans="1:13" s="141" customFormat="1" ht="19.8" customHeight="1" x14ac:dyDescent="0.3">
      <c r="A1675" s="284" t="s">
        <v>1622</v>
      </c>
      <c r="B1675" s="285"/>
      <c r="C1675" s="285"/>
      <c r="D1675" s="292"/>
      <c r="E1675" s="293"/>
      <c r="F1675" s="212">
        <f>SUM(F1671:F1674)</f>
        <v>152895.57069999998</v>
      </c>
      <c r="G1675" s="237">
        <v>0</v>
      </c>
      <c r="H1675" s="213">
        <f>SUM(H1671:H1674)</f>
        <v>152895.57069999998</v>
      </c>
      <c r="I1675" s="238">
        <v>0</v>
      </c>
      <c r="J1675" s="238">
        <v>0</v>
      </c>
      <c r="K1675" s="144"/>
    </row>
    <row r="1676" spans="1:13" s="141" customFormat="1" ht="33.75" customHeight="1" x14ac:dyDescent="0.3">
      <c r="A1676" s="71">
        <v>1421</v>
      </c>
      <c r="B1676" s="278" t="s">
        <v>2364</v>
      </c>
      <c r="C1676" s="150" t="s">
        <v>2384</v>
      </c>
      <c r="D1676" s="150" t="s">
        <v>2366</v>
      </c>
      <c r="E1676" s="151" t="s">
        <v>1246</v>
      </c>
      <c r="F1676" s="211">
        <f>434666.59/1000</f>
        <v>434.66659000000004</v>
      </c>
      <c r="G1676" s="236">
        <v>0</v>
      </c>
      <c r="H1676" s="235">
        <v>0</v>
      </c>
      <c r="I1676" s="211">
        <f>434666.59/1000</f>
        <v>434.66659000000004</v>
      </c>
      <c r="J1676" s="235">
        <v>0</v>
      </c>
      <c r="K1676" s="143" t="s">
        <v>2462</v>
      </c>
    </row>
    <row r="1677" spans="1:13" s="141" customFormat="1" ht="48" customHeight="1" x14ac:dyDescent="0.3">
      <c r="A1677" s="71">
        <v>1422</v>
      </c>
      <c r="B1677" s="279"/>
      <c r="C1677" s="150" t="s">
        <v>2385</v>
      </c>
      <c r="D1677" s="150" t="s">
        <v>2368</v>
      </c>
      <c r="E1677" s="151" t="s">
        <v>2369</v>
      </c>
      <c r="F1677" s="211">
        <f>302549.34/1000</f>
        <v>302.54934000000003</v>
      </c>
      <c r="G1677" s="236">
        <v>0</v>
      </c>
      <c r="H1677" s="235">
        <v>0</v>
      </c>
      <c r="I1677" s="211">
        <f>302549.34/1000</f>
        <v>302.54934000000003</v>
      </c>
      <c r="J1677" s="235">
        <v>0</v>
      </c>
      <c r="K1677" s="143" t="s">
        <v>2462</v>
      </c>
    </row>
    <row r="1678" spans="1:13" s="141" customFormat="1" ht="36.75" customHeight="1" x14ac:dyDescent="0.3">
      <c r="A1678" s="71">
        <v>1423</v>
      </c>
      <c r="B1678" s="280"/>
      <c r="C1678" s="150" t="s">
        <v>2386</v>
      </c>
      <c r="D1678" s="150" t="s">
        <v>137</v>
      </c>
      <c r="E1678" s="151" t="s">
        <v>1246</v>
      </c>
      <c r="F1678" s="211">
        <f>5235326.4/1000</f>
        <v>5235.3263999999999</v>
      </c>
      <c r="G1678" s="236">
        <v>0</v>
      </c>
      <c r="H1678" s="235">
        <v>0</v>
      </c>
      <c r="I1678" s="211">
        <f>5235326.4/1000</f>
        <v>5235.3263999999999</v>
      </c>
      <c r="J1678" s="235">
        <v>0</v>
      </c>
      <c r="K1678" s="143" t="s">
        <v>335</v>
      </c>
    </row>
    <row r="1679" spans="1:13" s="141" customFormat="1" ht="16.8" customHeight="1" x14ac:dyDescent="0.3">
      <c r="A1679" s="284" t="s">
        <v>1675</v>
      </c>
      <c r="B1679" s="285"/>
      <c r="C1679" s="285"/>
      <c r="D1679" s="286"/>
      <c r="E1679" s="287"/>
      <c r="F1679" s="213">
        <f>SUM(F1676:F1678)</f>
        <v>5972.5423300000002</v>
      </c>
      <c r="G1679" s="213">
        <f t="shared" ref="G1679:H1679" si="192">SUM(G1676:G1678)</f>
        <v>0</v>
      </c>
      <c r="H1679" s="213">
        <f t="shared" si="192"/>
        <v>0</v>
      </c>
      <c r="I1679" s="213">
        <f>SUM(I1676:I1678)</f>
        <v>5972.5423300000002</v>
      </c>
      <c r="J1679" s="213">
        <f>SUM(J1676:J1678)</f>
        <v>0</v>
      </c>
      <c r="K1679" s="144"/>
      <c r="M1679" s="152"/>
    </row>
    <row r="1680" spans="1:13" s="141" customFormat="1" ht="36" x14ac:dyDescent="0.3">
      <c r="A1680" s="153">
        <v>1424</v>
      </c>
      <c r="B1680" s="278" t="s">
        <v>2387</v>
      </c>
      <c r="C1680" s="154" t="s">
        <v>2388</v>
      </c>
      <c r="D1680" s="155" t="s">
        <v>2389</v>
      </c>
      <c r="E1680" s="153" t="s">
        <v>2390</v>
      </c>
      <c r="F1680" s="214">
        <v>48.4</v>
      </c>
      <c r="G1680" s="215">
        <v>48.4</v>
      </c>
      <c r="H1680" s="215">
        <v>0</v>
      </c>
      <c r="I1680" s="215">
        <v>0</v>
      </c>
      <c r="J1680" s="215">
        <f t="shared" ref="J1680:J1698" si="193">SUM(F1680:I1680)</f>
        <v>96.8</v>
      </c>
      <c r="K1680" s="156" t="s">
        <v>2391</v>
      </c>
      <c r="M1680" s="157"/>
    </row>
    <row r="1681" spans="1:13" s="149" customFormat="1" ht="30" customHeight="1" x14ac:dyDescent="0.3">
      <c r="A1681" s="155">
        <v>1425</v>
      </c>
      <c r="B1681" s="288"/>
      <c r="C1681" s="154" t="s">
        <v>2392</v>
      </c>
      <c r="D1681" s="158" t="s">
        <v>358</v>
      </c>
      <c r="E1681" s="159" t="s">
        <v>19</v>
      </c>
      <c r="F1681" s="215">
        <v>67.08</v>
      </c>
      <c r="G1681" s="215">
        <v>67.08</v>
      </c>
      <c r="H1681" s="215">
        <v>0</v>
      </c>
      <c r="I1681" s="215">
        <v>0</v>
      </c>
      <c r="J1681" s="215">
        <f t="shared" si="193"/>
        <v>134.16</v>
      </c>
      <c r="K1681" s="160" t="s">
        <v>166</v>
      </c>
      <c r="M1681" s="161"/>
    </row>
    <row r="1682" spans="1:13" s="149" customFormat="1" ht="36" x14ac:dyDescent="0.3">
      <c r="A1682" s="153">
        <v>1426</v>
      </c>
      <c r="B1682" s="288"/>
      <c r="C1682" s="154" t="s">
        <v>2393</v>
      </c>
      <c r="D1682" s="155" t="s">
        <v>2394</v>
      </c>
      <c r="E1682" s="153" t="s">
        <v>18</v>
      </c>
      <c r="F1682" s="214">
        <v>77</v>
      </c>
      <c r="G1682" s="215">
        <v>77</v>
      </c>
      <c r="H1682" s="215">
        <v>0</v>
      </c>
      <c r="I1682" s="215">
        <v>0</v>
      </c>
      <c r="J1682" s="215">
        <f t="shared" si="193"/>
        <v>154</v>
      </c>
      <c r="K1682" s="156" t="s">
        <v>2460</v>
      </c>
      <c r="M1682" s="157"/>
    </row>
    <row r="1683" spans="1:13" s="149" customFormat="1" ht="24" x14ac:dyDescent="0.3">
      <c r="A1683" s="155">
        <v>1427</v>
      </c>
      <c r="B1683" s="288"/>
      <c r="C1683" s="154" t="s">
        <v>2395</v>
      </c>
      <c r="D1683" s="155" t="s">
        <v>2396</v>
      </c>
      <c r="E1683" s="153" t="s">
        <v>19</v>
      </c>
      <c r="F1683" s="214">
        <v>81.86</v>
      </c>
      <c r="G1683" s="215">
        <v>81.86</v>
      </c>
      <c r="H1683" s="215">
        <v>0</v>
      </c>
      <c r="I1683" s="215">
        <v>0</v>
      </c>
      <c r="J1683" s="215">
        <f t="shared" si="193"/>
        <v>163.72</v>
      </c>
      <c r="K1683" s="156" t="s">
        <v>120</v>
      </c>
      <c r="M1683" s="162"/>
    </row>
    <row r="1684" spans="1:13" s="149" customFormat="1" ht="18.600000000000001" customHeight="1" x14ac:dyDescent="0.3">
      <c r="A1684" s="153">
        <v>1428</v>
      </c>
      <c r="B1684" s="288"/>
      <c r="C1684" s="154" t="s">
        <v>2397</v>
      </c>
      <c r="D1684" s="155" t="s">
        <v>591</v>
      </c>
      <c r="E1684" s="153" t="s">
        <v>19</v>
      </c>
      <c r="F1684" s="214">
        <v>249.9</v>
      </c>
      <c r="G1684" s="215">
        <v>249.9</v>
      </c>
      <c r="H1684" s="215">
        <v>0</v>
      </c>
      <c r="I1684" s="215">
        <v>0</v>
      </c>
      <c r="J1684" s="215">
        <f t="shared" si="193"/>
        <v>499.8</v>
      </c>
      <c r="K1684" s="156" t="s">
        <v>120</v>
      </c>
      <c r="M1684" s="162"/>
    </row>
    <row r="1685" spans="1:13" s="149" customFormat="1" ht="36" x14ac:dyDescent="0.3">
      <c r="A1685" s="155">
        <v>1429</v>
      </c>
      <c r="B1685" s="288"/>
      <c r="C1685" s="154" t="s">
        <v>2398</v>
      </c>
      <c r="D1685" s="155" t="s">
        <v>2399</v>
      </c>
      <c r="E1685" s="153" t="s">
        <v>18</v>
      </c>
      <c r="F1685" s="214">
        <v>339.3</v>
      </c>
      <c r="G1685" s="215">
        <v>339.3</v>
      </c>
      <c r="H1685" s="215">
        <v>0</v>
      </c>
      <c r="I1685" s="215">
        <v>0</v>
      </c>
      <c r="J1685" s="215">
        <f t="shared" si="193"/>
        <v>678.6</v>
      </c>
      <c r="K1685" s="156" t="s">
        <v>166</v>
      </c>
      <c r="M1685" s="157"/>
    </row>
    <row r="1686" spans="1:13" s="149" customFormat="1" ht="24" x14ac:dyDescent="0.3">
      <c r="A1686" s="153">
        <v>1430</v>
      </c>
      <c r="B1686" s="288"/>
      <c r="C1686" s="154" t="s">
        <v>2400</v>
      </c>
      <c r="D1686" s="155" t="s">
        <v>2401</v>
      </c>
      <c r="E1686" s="153" t="s">
        <v>18</v>
      </c>
      <c r="F1686" s="214">
        <v>384.1</v>
      </c>
      <c r="G1686" s="215">
        <v>384.1</v>
      </c>
      <c r="H1686" s="215">
        <v>0</v>
      </c>
      <c r="I1686" s="215">
        <v>0</v>
      </c>
      <c r="J1686" s="215">
        <f t="shared" si="193"/>
        <v>768.2</v>
      </c>
      <c r="K1686" s="156" t="s">
        <v>166</v>
      </c>
      <c r="M1686" s="162"/>
    </row>
    <row r="1687" spans="1:13" s="149" customFormat="1" ht="36" x14ac:dyDescent="0.3">
      <c r="A1687" s="155">
        <v>1431</v>
      </c>
      <c r="B1687" s="288"/>
      <c r="C1687" s="154" t="s">
        <v>2402</v>
      </c>
      <c r="D1687" s="155" t="s">
        <v>2403</v>
      </c>
      <c r="E1687" s="153" t="s">
        <v>18</v>
      </c>
      <c r="F1687" s="214">
        <v>430.33</v>
      </c>
      <c r="G1687" s="215">
        <v>430.33</v>
      </c>
      <c r="H1687" s="215">
        <v>0</v>
      </c>
      <c r="I1687" s="215">
        <v>0</v>
      </c>
      <c r="J1687" s="215">
        <f t="shared" si="193"/>
        <v>860.66</v>
      </c>
      <c r="K1687" s="156" t="s">
        <v>166</v>
      </c>
      <c r="M1687" s="162"/>
    </row>
    <row r="1688" spans="1:13" s="149" customFormat="1" ht="24" x14ac:dyDescent="0.3">
      <c r="A1688" s="153">
        <v>1432</v>
      </c>
      <c r="B1688" s="288"/>
      <c r="C1688" s="154" t="s">
        <v>2404</v>
      </c>
      <c r="D1688" s="155" t="s">
        <v>2405</v>
      </c>
      <c r="E1688" s="153" t="s">
        <v>18</v>
      </c>
      <c r="F1688" s="214">
        <v>446.66</v>
      </c>
      <c r="G1688" s="215">
        <v>446.66</v>
      </c>
      <c r="H1688" s="215">
        <v>0</v>
      </c>
      <c r="I1688" s="215">
        <v>0</v>
      </c>
      <c r="J1688" s="215">
        <f t="shared" si="193"/>
        <v>893.32</v>
      </c>
      <c r="K1688" s="156" t="s">
        <v>166</v>
      </c>
      <c r="M1688" s="162"/>
    </row>
    <row r="1689" spans="1:13" s="149" customFormat="1" ht="48" x14ac:dyDescent="0.3">
      <c r="A1689" s="155">
        <v>1433</v>
      </c>
      <c r="B1689" s="288"/>
      <c r="C1689" s="154" t="s">
        <v>2406</v>
      </c>
      <c r="D1689" s="155" t="s">
        <v>2407</v>
      </c>
      <c r="E1689" s="153" t="s">
        <v>2390</v>
      </c>
      <c r="F1689" s="214">
        <v>528</v>
      </c>
      <c r="G1689" s="215">
        <v>528</v>
      </c>
      <c r="H1689" s="215">
        <v>0</v>
      </c>
      <c r="I1689" s="215">
        <v>0</v>
      </c>
      <c r="J1689" s="215">
        <f t="shared" si="193"/>
        <v>1056</v>
      </c>
      <c r="K1689" s="156" t="s">
        <v>120</v>
      </c>
      <c r="M1689" s="162"/>
    </row>
    <row r="1690" spans="1:13" s="149" customFormat="1" ht="36" x14ac:dyDescent="0.3">
      <c r="A1690" s="153">
        <v>1434</v>
      </c>
      <c r="B1690" s="288"/>
      <c r="C1690" s="154" t="s">
        <v>2408</v>
      </c>
      <c r="D1690" s="155" t="s">
        <v>2409</v>
      </c>
      <c r="E1690" s="153" t="s">
        <v>2390</v>
      </c>
      <c r="F1690" s="214">
        <v>646.66</v>
      </c>
      <c r="G1690" s="215">
        <v>646.66</v>
      </c>
      <c r="H1690" s="215">
        <v>0</v>
      </c>
      <c r="I1690" s="215">
        <v>0</v>
      </c>
      <c r="J1690" s="215">
        <f t="shared" si="193"/>
        <v>1293.32</v>
      </c>
      <c r="K1690" s="156" t="s">
        <v>120</v>
      </c>
      <c r="M1690" s="162"/>
    </row>
    <row r="1691" spans="1:13" s="149" customFormat="1" ht="24" x14ac:dyDescent="0.3">
      <c r="A1691" s="155">
        <v>1435</v>
      </c>
      <c r="B1691" s="288"/>
      <c r="C1691" s="154" t="s">
        <v>2410</v>
      </c>
      <c r="D1691" s="155" t="s">
        <v>2411</v>
      </c>
      <c r="E1691" s="153" t="s">
        <v>18</v>
      </c>
      <c r="F1691" s="214">
        <v>1377.54</v>
      </c>
      <c r="G1691" s="215">
        <v>1377.54</v>
      </c>
      <c r="H1691" s="215">
        <v>0</v>
      </c>
      <c r="I1691" s="215">
        <v>0</v>
      </c>
      <c r="J1691" s="215">
        <f t="shared" si="193"/>
        <v>2755.08</v>
      </c>
      <c r="K1691" s="156" t="s">
        <v>120</v>
      </c>
      <c r="M1691" s="162"/>
    </row>
    <row r="1692" spans="1:13" s="149" customFormat="1" ht="48" x14ac:dyDescent="0.3">
      <c r="A1692" s="153">
        <v>1436</v>
      </c>
      <c r="B1692" s="288"/>
      <c r="C1692" s="154" t="s">
        <v>2412</v>
      </c>
      <c r="D1692" s="155" t="s">
        <v>2413</v>
      </c>
      <c r="E1692" s="153" t="s">
        <v>18</v>
      </c>
      <c r="F1692" s="214">
        <v>2436</v>
      </c>
      <c r="G1692" s="215">
        <v>2436</v>
      </c>
      <c r="H1692" s="215">
        <v>0</v>
      </c>
      <c r="I1692" s="215">
        <v>0</v>
      </c>
      <c r="J1692" s="215">
        <f t="shared" si="193"/>
        <v>4872</v>
      </c>
      <c r="K1692" s="156" t="s">
        <v>120</v>
      </c>
      <c r="M1692" s="162"/>
    </row>
    <row r="1693" spans="1:13" s="149" customFormat="1" ht="60" x14ac:dyDescent="0.3">
      <c r="A1693" s="155">
        <v>1437</v>
      </c>
      <c r="B1693" s="288"/>
      <c r="C1693" s="154" t="s">
        <v>2414</v>
      </c>
      <c r="D1693" s="155" t="s">
        <v>2415</v>
      </c>
      <c r="E1693" s="153" t="s">
        <v>18</v>
      </c>
      <c r="F1693" s="214">
        <v>2973.94</v>
      </c>
      <c r="G1693" s="215">
        <v>2973.94</v>
      </c>
      <c r="H1693" s="215">
        <v>0</v>
      </c>
      <c r="I1693" s="215">
        <v>0</v>
      </c>
      <c r="J1693" s="215">
        <f t="shared" si="193"/>
        <v>5947.88</v>
      </c>
      <c r="K1693" s="156" t="s">
        <v>222</v>
      </c>
      <c r="M1693" s="162"/>
    </row>
    <row r="1694" spans="1:13" s="149" customFormat="1" ht="24" x14ac:dyDescent="0.3">
      <c r="A1694" s="153">
        <v>1438</v>
      </c>
      <c r="B1694" s="288"/>
      <c r="C1694" s="154" t="s">
        <v>2416</v>
      </c>
      <c r="D1694" s="155" t="s">
        <v>2417</v>
      </c>
      <c r="E1694" s="153" t="s">
        <v>2390</v>
      </c>
      <c r="F1694" s="214">
        <v>3157.16</v>
      </c>
      <c r="G1694" s="215">
        <v>3157.16</v>
      </c>
      <c r="H1694" s="215">
        <v>0</v>
      </c>
      <c r="I1694" s="215">
        <v>0</v>
      </c>
      <c r="J1694" s="215">
        <f t="shared" si="193"/>
        <v>6314.32</v>
      </c>
      <c r="K1694" s="156" t="s">
        <v>120</v>
      </c>
      <c r="M1694" s="162"/>
    </row>
    <row r="1695" spans="1:13" s="149" customFormat="1" ht="48" x14ac:dyDescent="0.3">
      <c r="A1695" s="153">
        <v>1439</v>
      </c>
      <c r="B1695" s="288"/>
      <c r="C1695" s="154" t="s">
        <v>2418</v>
      </c>
      <c r="D1695" s="155" t="s">
        <v>2419</v>
      </c>
      <c r="E1695" s="153" t="s">
        <v>18</v>
      </c>
      <c r="F1695" s="214">
        <v>4872.1099999999997</v>
      </c>
      <c r="G1695" s="215">
        <v>4872.1099999999997</v>
      </c>
      <c r="H1695" s="215">
        <v>0</v>
      </c>
      <c r="I1695" s="215">
        <v>0</v>
      </c>
      <c r="J1695" s="215">
        <f t="shared" si="193"/>
        <v>9744.2199999999993</v>
      </c>
      <c r="K1695" s="156" t="s">
        <v>222</v>
      </c>
      <c r="M1695" s="157"/>
    </row>
    <row r="1696" spans="1:13" s="149" customFormat="1" ht="24" x14ac:dyDescent="0.3">
      <c r="A1696" s="155">
        <v>1440</v>
      </c>
      <c r="B1696" s="288"/>
      <c r="C1696" s="154" t="s">
        <v>2420</v>
      </c>
      <c r="D1696" s="155" t="s">
        <v>2421</v>
      </c>
      <c r="E1696" s="153" t="s">
        <v>18</v>
      </c>
      <c r="F1696" s="214">
        <v>9776.8799999999992</v>
      </c>
      <c r="G1696" s="215">
        <v>9776.8799999999992</v>
      </c>
      <c r="H1696" s="215">
        <v>0</v>
      </c>
      <c r="I1696" s="215">
        <v>0</v>
      </c>
      <c r="J1696" s="215">
        <f t="shared" si="193"/>
        <v>19553.759999999998</v>
      </c>
      <c r="K1696" s="156" t="s">
        <v>2463</v>
      </c>
      <c r="M1696" s="157"/>
    </row>
    <row r="1697" spans="1:13" s="149" customFormat="1" ht="48" x14ac:dyDescent="0.3">
      <c r="A1697" s="153">
        <v>1441</v>
      </c>
      <c r="B1697" s="288"/>
      <c r="C1697" s="154" t="s">
        <v>2422</v>
      </c>
      <c r="D1697" s="155" t="s">
        <v>2423</v>
      </c>
      <c r="E1697" s="153" t="s">
        <v>18</v>
      </c>
      <c r="F1697" s="214">
        <v>20141.77</v>
      </c>
      <c r="G1697" s="215">
        <v>20141.77</v>
      </c>
      <c r="H1697" s="215">
        <v>0</v>
      </c>
      <c r="I1697" s="215">
        <v>0</v>
      </c>
      <c r="J1697" s="215">
        <f t="shared" si="193"/>
        <v>40283.54</v>
      </c>
      <c r="K1697" s="156" t="s">
        <v>122</v>
      </c>
      <c r="M1697" s="157"/>
    </row>
    <row r="1698" spans="1:13" s="149" customFormat="1" ht="48" x14ac:dyDescent="0.3">
      <c r="A1698" s="153">
        <v>1442</v>
      </c>
      <c r="B1698" s="289"/>
      <c r="C1698" s="154" t="s">
        <v>2424</v>
      </c>
      <c r="D1698" s="155" t="s">
        <v>2425</v>
      </c>
      <c r="E1698" s="153" t="s">
        <v>2426</v>
      </c>
      <c r="F1698" s="214">
        <v>38120.400000000001</v>
      </c>
      <c r="G1698" s="215">
        <v>38120.400000000001</v>
      </c>
      <c r="H1698" s="215">
        <v>0</v>
      </c>
      <c r="I1698" s="215">
        <v>0</v>
      </c>
      <c r="J1698" s="215">
        <f t="shared" si="193"/>
        <v>76240.800000000003</v>
      </c>
      <c r="K1698" s="156" t="s">
        <v>2463</v>
      </c>
      <c r="M1698" s="157"/>
    </row>
    <row r="1699" spans="1:13" s="149" customFormat="1" ht="18.600000000000001" customHeight="1" x14ac:dyDescent="0.3">
      <c r="A1699" s="290" t="s">
        <v>1628</v>
      </c>
      <c r="B1699" s="291"/>
      <c r="C1699" s="291"/>
      <c r="D1699" s="291"/>
      <c r="E1699" s="291"/>
      <c r="F1699" s="216">
        <f>SUM(G1699:J1699)</f>
        <v>258465.27</v>
      </c>
      <c r="G1699" s="216">
        <f>SUM(G1680:G1698)</f>
        <v>86155.09</v>
      </c>
      <c r="H1699" s="216">
        <f t="shared" ref="H1699:J1699" si="194">SUM(H1680:H1698)</f>
        <v>0</v>
      </c>
      <c r="I1699" s="216">
        <f t="shared" si="194"/>
        <v>0</v>
      </c>
      <c r="J1699" s="216">
        <f t="shared" si="194"/>
        <v>172310.18</v>
      </c>
      <c r="K1699" s="163"/>
      <c r="M1699" s="164"/>
    </row>
    <row r="1700" spans="1:13" s="149" customFormat="1" ht="36" x14ac:dyDescent="0.3">
      <c r="A1700" s="153">
        <v>1443</v>
      </c>
      <c r="B1700" s="278" t="s">
        <v>2387</v>
      </c>
      <c r="C1700" s="154" t="s">
        <v>2427</v>
      </c>
      <c r="D1700" s="155" t="s">
        <v>2389</v>
      </c>
      <c r="E1700" s="153" t="s">
        <v>240</v>
      </c>
      <c r="F1700" s="214">
        <v>3.16</v>
      </c>
      <c r="G1700" s="215">
        <v>0</v>
      </c>
      <c r="H1700" s="215">
        <v>3.16</v>
      </c>
      <c r="I1700" s="215">
        <v>0</v>
      </c>
      <c r="J1700" s="215">
        <v>0</v>
      </c>
      <c r="K1700" s="156" t="s">
        <v>125</v>
      </c>
      <c r="M1700" s="162"/>
    </row>
    <row r="1701" spans="1:13" s="149" customFormat="1" ht="24" x14ac:dyDescent="0.3">
      <c r="A1701" s="153">
        <v>1444</v>
      </c>
      <c r="B1701" s="279"/>
      <c r="C1701" s="154" t="s">
        <v>2428</v>
      </c>
      <c r="D1701" s="155" t="s">
        <v>358</v>
      </c>
      <c r="E1701" s="153" t="s">
        <v>240</v>
      </c>
      <c r="F1701" s="214">
        <v>67.08</v>
      </c>
      <c r="G1701" s="215">
        <v>0</v>
      </c>
      <c r="H1701" s="215">
        <v>67.08</v>
      </c>
      <c r="I1701" s="215">
        <v>0</v>
      </c>
      <c r="J1701" s="215">
        <v>0</v>
      </c>
      <c r="K1701" s="156" t="s">
        <v>125</v>
      </c>
      <c r="M1701" s="162"/>
    </row>
    <row r="1702" spans="1:13" s="149" customFormat="1" ht="36" x14ac:dyDescent="0.3">
      <c r="A1702" s="153">
        <v>1445</v>
      </c>
      <c r="B1702" s="279"/>
      <c r="C1702" s="154" t="s">
        <v>2429</v>
      </c>
      <c r="D1702" s="155" t="s">
        <v>2409</v>
      </c>
      <c r="E1702" s="153" t="s">
        <v>240</v>
      </c>
      <c r="F1702" s="214">
        <v>161.08000000000001</v>
      </c>
      <c r="G1702" s="215">
        <v>0</v>
      </c>
      <c r="H1702" s="215">
        <v>161.08000000000001</v>
      </c>
      <c r="I1702" s="215">
        <v>0</v>
      </c>
      <c r="J1702" s="215">
        <v>0</v>
      </c>
      <c r="K1702" s="156" t="s">
        <v>125</v>
      </c>
      <c r="M1702" s="162"/>
    </row>
    <row r="1703" spans="1:13" s="149" customFormat="1" ht="24" x14ac:dyDescent="0.3">
      <c r="A1703" s="153">
        <v>1446</v>
      </c>
      <c r="B1703" s="279"/>
      <c r="C1703" s="154" t="s">
        <v>2430</v>
      </c>
      <c r="D1703" s="155" t="s">
        <v>2401</v>
      </c>
      <c r="E1703" s="153" t="s">
        <v>18</v>
      </c>
      <c r="F1703" s="214">
        <v>384.1</v>
      </c>
      <c r="G1703" s="215">
        <v>0</v>
      </c>
      <c r="H1703" s="215">
        <v>384.1</v>
      </c>
      <c r="I1703" s="215">
        <v>0</v>
      </c>
      <c r="J1703" s="215">
        <v>0</v>
      </c>
      <c r="K1703" s="156" t="s">
        <v>125</v>
      </c>
      <c r="M1703" s="162"/>
    </row>
    <row r="1704" spans="1:13" s="149" customFormat="1" ht="24" x14ac:dyDescent="0.3">
      <c r="A1704" s="153">
        <v>1447</v>
      </c>
      <c r="B1704" s="279"/>
      <c r="C1704" s="154" t="s">
        <v>2431</v>
      </c>
      <c r="D1704" s="155" t="s">
        <v>2432</v>
      </c>
      <c r="E1704" s="153" t="s">
        <v>240</v>
      </c>
      <c r="F1704" s="214">
        <v>515.5</v>
      </c>
      <c r="G1704" s="215">
        <v>0</v>
      </c>
      <c r="H1704" s="215">
        <v>515.5</v>
      </c>
      <c r="I1704" s="215">
        <v>0</v>
      </c>
      <c r="J1704" s="215">
        <v>0</v>
      </c>
      <c r="K1704" s="156" t="s">
        <v>125</v>
      </c>
      <c r="M1704" s="162"/>
    </row>
    <row r="1705" spans="1:13" s="149" customFormat="1" ht="16.8" customHeight="1" x14ac:dyDescent="0.3">
      <c r="A1705" s="153">
        <v>1448</v>
      </c>
      <c r="B1705" s="279"/>
      <c r="C1705" s="154" t="s">
        <v>2433</v>
      </c>
      <c r="D1705" s="155" t="s">
        <v>591</v>
      </c>
      <c r="E1705" s="153" t="s">
        <v>240</v>
      </c>
      <c r="F1705" s="214">
        <v>620.30999999999995</v>
      </c>
      <c r="G1705" s="215">
        <v>0</v>
      </c>
      <c r="H1705" s="215">
        <v>620.30999999999995</v>
      </c>
      <c r="I1705" s="215">
        <v>0</v>
      </c>
      <c r="J1705" s="215">
        <v>0</v>
      </c>
      <c r="K1705" s="156" t="s">
        <v>125</v>
      </c>
      <c r="M1705" s="162"/>
    </row>
    <row r="1706" spans="1:13" s="149" customFormat="1" ht="22.2" customHeight="1" x14ac:dyDescent="0.3">
      <c r="A1706" s="153">
        <v>1449</v>
      </c>
      <c r="B1706" s="279"/>
      <c r="C1706" s="154" t="s">
        <v>2434</v>
      </c>
      <c r="D1706" s="155" t="s">
        <v>2435</v>
      </c>
      <c r="E1706" s="153" t="s">
        <v>240</v>
      </c>
      <c r="F1706" s="214">
        <v>632.23</v>
      </c>
      <c r="G1706" s="215">
        <v>0</v>
      </c>
      <c r="H1706" s="215">
        <v>632.23</v>
      </c>
      <c r="I1706" s="215">
        <v>0</v>
      </c>
      <c r="J1706" s="215">
        <v>0</v>
      </c>
      <c r="K1706" s="166">
        <v>46266</v>
      </c>
      <c r="M1706" s="164"/>
    </row>
    <row r="1707" spans="1:13" s="149" customFormat="1" ht="24" x14ac:dyDescent="0.3">
      <c r="A1707" s="153">
        <v>1450</v>
      </c>
      <c r="B1707" s="279"/>
      <c r="C1707" s="154" t="s">
        <v>2436</v>
      </c>
      <c r="D1707" s="155" t="s">
        <v>2437</v>
      </c>
      <c r="E1707" s="153" t="s">
        <v>240</v>
      </c>
      <c r="F1707" s="214">
        <v>787.04</v>
      </c>
      <c r="G1707" s="215">
        <v>0</v>
      </c>
      <c r="H1707" s="215">
        <v>787.04</v>
      </c>
      <c r="I1707" s="215">
        <v>0</v>
      </c>
      <c r="J1707" s="215">
        <v>0</v>
      </c>
      <c r="K1707" s="166">
        <v>46267</v>
      </c>
    </row>
    <row r="1708" spans="1:13" s="149" customFormat="1" ht="24" x14ac:dyDescent="0.3">
      <c r="A1708" s="153">
        <v>1451</v>
      </c>
      <c r="B1708" s="279"/>
      <c r="C1708" s="154" t="s">
        <v>2438</v>
      </c>
      <c r="D1708" s="155" t="s">
        <v>2421</v>
      </c>
      <c r="E1708" s="153" t="s">
        <v>18</v>
      </c>
      <c r="F1708" s="214">
        <v>1319.99</v>
      </c>
      <c r="G1708" s="215">
        <v>0</v>
      </c>
      <c r="H1708" s="215">
        <v>1319.99</v>
      </c>
      <c r="I1708" s="215">
        <v>0</v>
      </c>
      <c r="J1708" s="215">
        <v>0</v>
      </c>
      <c r="K1708" s="156" t="s">
        <v>125</v>
      </c>
    </row>
    <row r="1709" spans="1:13" s="149" customFormat="1" ht="12" x14ac:dyDescent="0.3">
      <c r="A1709" s="153">
        <v>1452</v>
      </c>
      <c r="B1709" s="279"/>
      <c r="C1709" s="154" t="s">
        <v>2439</v>
      </c>
      <c r="D1709" s="155" t="s">
        <v>165</v>
      </c>
      <c r="E1709" s="153" t="s">
        <v>240</v>
      </c>
      <c r="F1709" s="214">
        <v>1455.81</v>
      </c>
      <c r="G1709" s="215">
        <v>0</v>
      </c>
      <c r="H1709" s="215">
        <v>1455.81</v>
      </c>
      <c r="I1709" s="215">
        <v>0</v>
      </c>
      <c r="J1709" s="215">
        <v>0</v>
      </c>
      <c r="K1709" s="166">
        <v>46267</v>
      </c>
    </row>
    <row r="1710" spans="1:13" s="149" customFormat="1" ht="24" x14ac:dyDescent="0.3">
      <c r="A1710" s="153">
        <v>1453</v>
      </c>
      <c r="B1710" s="279"/>
      <c r="C1710" s="154" t="s">
        <v>2440</v>
      </c>
      <c r="D1710" s="155" t="s">
        <v>2441</v>
      </c>
      <c r="E1710" s="153" t="s">
        <v>240</v>
      </c>
      <c r="F1710" s="214">
        <v>1679.02</v>
      </c>
      <c r="G1710" s="215">
        <v>0</v>
      </c>
      <c r="H1710" s="215">
        <v>1679.02</v>
      </c>
      <c r="I1710" s="215">
        <v>0</v>
      </c>
      <c r="J1710" s="215">
        <v>0</v>
      </c>
      <c r="K1710" s="166">
        <v>46267</v>
      </c>
    </row>
    <row r="1711" spans="1:13" s="149" customFormat="1" ht="36" x14ac:dyDescent="0.3">
      <c r="A1711" s="153">
        <v>1454</v>
      </c>
      <c r="B1711" s="279"/>
      <c r="C1711" s="154" t="s">
        <v>2442</v>
      </c>
      <c r="D1711" s="155" t="s">
        <v>2443</v>
      </c>
      <c r="E1711" s="153" t="s">
        <v>240</v>
      </c>
      <c r="F1711" s="214">
        <v>1816.85</v>
      </c>
      <c r="G1711" s="215">
        <v>0</v>
      </c>
      <c r="H1711" s="215">
        <v>1816.85</v>
      </c>
      <c r="I1711" s="215">
        <v>0</v>
      </c>
      <c r="J1711" s="215">
        <v>0</v>
      </c>
      <c r="K1711" s="166">
        <v>46267</v>
      </c>
    </row>
    <row r="1712" spans="1:13" s="149" customFormat="1" ht="12" x14ac:dyDescent="0.3">
      <c r="A1712" s="153">
        <v>1455</v>
      </c>
      <c r="B1712" s="279"/>
      <c r="C1712" s="154" t="s">
        <v>2444</v>
      </c>
      <c r="D1712" s="155" t="s">
        <v>137</v>
      </c>
      <c r="E1712" s="153" t="s">
        <v>240</v>
      </c>
      <c r="F1712" s="214">
        <v>1861.1</v>
      </c>
      <c r="G1712" s="215">
        <v>0</v>
      </c>
      <c r="H1712" s="215">
        <v>1861.1</v>
      </c>
      <c r="I1712" s="215">
        <v>0</v>
      </c>
      <c r="J1712" s="215">
        <v>0</v>
      </c>
      <c r="K1712" s="166">
        <v>46267</v>
      </c>
    </row>
    <row r="1713" spans="1:14" s="149" customFormat="1" ht="24" x14ac:dyDescent="0.3">
      <c r="A1713" s="153">
        <v>1456</v>
      </c>
      <c r="B1713" s="280"/>
      <c r="C1713" s="154" t="s">
        <v>2445</v>
      </c>
      <c r="D1713" s="155" t="s">
        <v>1190</v>
      </c>
      <c r="E1713" s="153" t="s">
        <v>240</v>
      </c>
      <c r="F1713" s="214">
        <v>2527.88</v>
      </c>
      <c r="G1713" s="215">
        <v>0</v>
      </c>
      <c r="H1713" s="215">
        <v>2527.88</v>
      </c>
      <c r="I1713" s="215">
        <v>0</v>
      </c>
      <c r="J1713" s="215">
        <v>0</v>
      </c>
      <c r="K1713" s="166">
        <v>46267</v>
      </c>
    </row>
    <row r="1714" spans="1:14" s="149" customFormat="1" ht="15.6" customHeight="1" x14ac:dyDescent="0.3">
      <c r="A1714" s="290" t="s">
        <v>1622</v>
      </c>
      <c r="B1714" s="291"/>
      <c r="C1714" s="291"/>
      <c r="D1714" s="291"/>
      <c r="E1714" s="291"/>
      <c r="F1714" s="216">
        <f>SUM(F1700:F1713)</f>
        <v>13831.150000000001</v>
      </c>
      <c r="G1714" s="216">
        <f>SUM(G1700:G1713)</f>
        <v>0</v>
      </c>
      <c r="H1714" s="216">
        <f>SUM(H1700:H1713)</f>
        <v>13831.150000000001</v>
      </c>
      <c r="I1714" s="216">
        <f t="shared" ref="I1714:J1714" si="195">SUM(I1700:I1713)</f>
        <v>0</v>
      </c>
      <c r="J1714" s="216">
        <f t="shared" si="195"/>
        <v>0</v>
      </c>
      <c r="K1714" s="163"/>
    </row>
    <row r="1715" spans="1:14" s="149" customFormat="1" ht="36" x14ac:dyDescent="0.3">
      <c r="A1715" s="153">
        <v>1457</v>
      </c>
      <c r="B1715" s="278" t="s">
        <v>2387</v>
      </c>
      <c r="C1715" s="154" t="s">
        <v>2446</v>
      </c>
      <c r="D1715" s="153" t="s">
        <v>2389</v>
      </c>
      <c r="E1715" s="153" t="s">
        <v>240</v>
      </c>
      <c r="F1715" s="214">
        <v>4.4000000000000004</v>
      </c>
      <c r="G1715" s="215">
        <v>0</v>
      </c>
      <c r="H1715" s="215">
        <v>0</v>
      </c>
      <c r="I1715" s="215">
        <v>4.4000000000000004</v>
      </c>
      <c r="J1715" s="215">
        <v>0</v>
      </c>
      <c r="K1715" s="156" t="s">
        <v>129</v>
      </c>
      <c r="N1715" s="164"/>
    </row>
    <row r="1716" spans="1:14" s="149" customFormat="1" ht="24" x14ac:dyDescent="0.3">
      <c r="A1716" s="153">
        <v>1458</v>
      </c>
      <c r="B1716" s="279"/>
      <c r="C1716" s="154" t="s">
        <v>2447</v>
      </c>
      <c r="D1716" s="153" t="s">
        <v>2432</v>
      </c>
      <c r="E1716" s="153" t="s">
        <v>240</v>
      </c>
      <c r="F1716" s="214">
        <v>26.8</v>
      </c>
      <c r="G1716" s="215">
        <v>0</v>
      </c>
      <c r="H1716" s="215">
        <v>0</v>
      </c>
      <c r="I1716" s="215">
        <v>26.8</v>
      </c>
      <c r="J1716" s="215">
        <v>0</v>
      </c>
      <c r="K1716" s="156" t="s">
        <v>129</v>
      </c>
      <c r="N1716" s="162"/>
    </row>
    <row r="1717" spans="1:14" s="149" customFormat="1" ht="24" x14ac:dyDescent="0.3">
      <c r="A1717" s="153">
        <v>1459</v>
      </c>
      <c r="B1717" s="279"/>
      <c r="C1717" s="154" t="s">
        <v>2448</v>
      </c>
      <c r="D1717" s="153" t="s">
        <v>358</v>
      </c>
      <c r="E1717" s="153" t="s">
        <v>240</v>
      </c>
      <c r="F1717" s="214">
        <v>67.08</v>
      </c>
      <c r="G1717" s="215">
        <v>0</v>
      </c>
      <c r="H1717" s="215">
        <v>0</v>
      </c>
      <c r="I1717" s="215">
        <v>67.08</v>
      </c>
      <c r="J1717" s="215">
        <v>0</v>
      </c>
      <c r="K1717" s="156" t="s">
        <v>129</v>
      </c>
      <c r="N1717" s="162"/>
    </row>
    <row r="1718" spans="1:14" s="149" customFormat="1" ht="36" x14ac:dyDescent="0.3">
      <c r="A1718" s="153">
        <v>1460</v>
      </c>
      <c r="B1718" s="279"/>
      <c r="C1718" s="154" t="s">
        <v>2449</v>
      </c>
      <c r="D1718" s="153" t="s">
        <v>2409</v>
      </c>
      <c r="E1718" s="153" t="s">
        <v>18</v>
      </c>
      <c r="F1718" s="214">
        <v>161.08000000000001</v>
      </c>
      <c r="G1718" s="215">
        <v>0</v>
      </c>
      <c r="H1718" s="215">
        <v>0</v>
      </c>
      <c r="I1718" s="215">
        <v>161.08000000000001</v>
      </c>
      <c r="J1718" s="215">
        <v>0</v>
      </c>
      <c r="K1718" s="156" t="s">
        <v>129</v>
      </c>
      <c r="N1718" s="162"/>
    </row>
    <row r="1719" spans="1:14" s="149" customFormat="1" ht="24" x14ac:dyDescent="0.3">
      <c r="A1719" s="153">
        <v>1461</v>
      </c>
      <c r="B1719" s="279"/>
      <c r="C1719" s="154" t="s">
        <v>2450</v>
      </c>
      <c r="D1719" s="153" t="s">
        <v>2401</v>
      </c>
      <c r="E1719" s="153" t="s">
        <v>18</v>
      </c>
      <c r="F1719" s="214">
        <v>384</v>
      </c>
      <c r="G1719" s="215">
        <v>0</v>
      </c>
      <c r="H1719" s="215">
        <v>0</v>
      </c>
      <c r="I1719" s="215">
        <v>384</v>
      </c>
      <c r="J1719" s="215">
        <v>0</v>
      </c>
      <c r="K1719" s="156" t="s">
        <v>129</v>
      </c>
      <c r="N1719" s="162"/>
    </row>
    <row r="1720" spans="1:14" s="149" customFormat="1" ht="12" x14ac:dyDescent="0.3">
      <c r="A1720" s="153">
        <v>1462</v>
      </c>
      <c r="B1720" s="279"/>
      <c r="C1720" s="154" t="s">
        <v>2451</v>
      </c>
      <c r="D1720" s="153" t="s">
        <v>591</v>
      </c>
      <c r="E1720" s="153" t="s">
        <v>240</v>
      </c>
      <c r="F1720" s="214">
        <v>620.59</v>
      </c>
      <c r="G1720" s="215">
        <v>0</v>
      </c>
      <c r="H1720" s="215">
        <v>0</v>
      </c>
      <c r="I1720" s="215">
        <v>620.59</v>
      </c>
      <c r="J1720" s="215">
        <v>0</v>
      </c>
      <c r="K1720" s="156" t="s">
        <v>129</v>
      </c>
      <c r="N1720" s="162"/>
    </row>
    <row r="1721" spans="1:14" s="149" customFormat="1" ht="12" x14ac:dyDescent="0.3">
      <c r="A1721" s="153">
        <v>1463</v>
      </c>
      <c r="B1721" s="279"/>
      <c r="C1721" s="154" t="s">
        <v>2452</v>
      </c>
      <c r="D1721" s="153" t="s">
        <v>2435</v>
      </c>
      <c r="E1721" s="153" t="s">
        <v>240</v>
      </c>
      <c r="F1721" s="214">
        <v>632.23</v>
      </c>
      <c r="G1721" s="215">
        <v>0</v>
      </c>
      <c r="H1721" s="215">
        <v>0</v>
      </c>
      <c r="I1721" s="215">
        <v>632.23</v>
      </c>
      <c r="J1721" s="215">
        <v>0</v>
      </c>
      <c r="K1721" s="156" t="s">
        <v>124</v>
      </c>
      <c r="N1721" s="157"/>
    </row>
    <row r="1722" spans="1:14" s="149" customFormat="1" ht="24" x14ac:dyDescent="0.3">
      <c r="A1722" s="153">
        <v>1464</v>
      </c>
      <c r="B1722" s="279"/>
      <c r="C1722" s="154" t="s">
        <v>2453</v>
      </c>
      <c r="D1722" s="153" t="s">
        <v>2437</v>
      </c>
      <c r="E1722" s="153" t="s">
        <v>18</v>
      </c>
      <c r="F1722" s="214">
        <v>787.04</v>
      </c>
      <c r="G1722" s="215">
        <v>0</v>
      </c>
      <c r="H1722" s="215">
        <v>0</v>
      </c>
      <c r="I1722" s="215">
        <v>787.04</v>
      </c>
      <c r="J1722" s="215">
        <v>0</v>
      </c>
      <c r="K1722" s="156" t="s">
        <v>124</v>
      </c>
      <c r="N1722" s="157"/>
    </row>
    <row r="1723" spans="1:14" s="149" customFormat="1" ht="24" x14ac:dyDescent="0.3">
      <c r="A1723" s="153">
        <v>1465</v>
      </c>
      <c r="B1723" s="279"/>
      <c r="C1723" s="154" t="s">
        <v>2454</v>
      </c>
      <c r="D1723" s="153" t="s">
        <v>2421</v>
      </c>
      <c r="E1723" s="153" t="s">
        <v>18</v>
      </c>
      <c r="F1723" s="214">
        <v>1325.26</v>
      </c>
      <c r="G1723" s="215">
        <v>0</v>
      </c>
      <c r="H1723" s="215">
        <v>0</v>
      </c>
      <c r="I1723" s="215">
        <v>1325.26</v>
      </c>
      <c r="J1723" s="215">
        <v>0</v>
      </c>
      <c r="K1723" s="156" t="s">
        <v>2464</v>
      </c>
      <c r="N1723" s="157"/>
    </row>
    <row r="1724" spans="1:14" s="149" customFormat="1" ht="12" x14ac:dyDescent="0.3">
      <c r="A1724" s="153">
        <v>1466</v>
      </c>
      <c r="B1724" s="279"/>
      <c r="C1724" s="154" t="s">
        <v>2455</v>
      </c>
      <c r="D1724" s="153" t="s">
        <v>165</v>
      </c>
      <c r="E1724" s="153" t="s">
        <v>240</v>
      </c>
      <c r="F1724" s="214">
        <v>1455.81</v>
      </c>
      <c r="G1724" s="215">
        <v>0</v>
      </c>
      <c r="H1724" s="215">
        <v>0</v>
      </c>
      <c r="I1724" s="215">
        <v>1455.81</v>
      </c>
      <c r="J1724" s="215">
        <v>0</v>
      </c>
      <c r="K1724" s="156" t="s">
        <v>124</v>
      </c>
      <c r="N1724" s="157"/>
    </row>
    <row r="1725" spans="1:14" s="149" customFormat="1" ht="24" x14ac:dyDescent="0.3">
      <c r="A1725" s="153">
        <v>1467</v>
      </c>
      <c r="B1725" s="279"/>
      <c r="C1725" s="154" t="s">
        <v>2456</v>
      </c>
      <c r="D1725" s="153" t="s">
        <v>2441</v>
      </c>
      <c r="E1725" s="153" t="s">
        <v>240</v>
      </c>
      <c r="F1725" s="214">
        <v>1679.02</v>
      </c>
      <c r="G1725" s="215">
        <v>0</v>
      </c>
      <c r="H1725" s="215">
        <v>0</v>
      </c>
      <c r="I1725" s="215">
        <v>1679.02</v>
      </c>
      <c r="J1725" s="215">
        <v>0</v>
      </c>
      <c r="K1725" s="156" t="s">
        <v>124</v>
      </c>
      <c r="N1725" s="157"/>
    </row>
    <row r="1726" spans="1:14" s="149" customFormat="1" ht="12" x14ac:dyDescent="0.3">
      <c r="A1726" s="153">
        <v>1468</v>
      </c>
      <c r="B1726" s="279"/>
      <c r="C1726" s="154" t="s">
        <v>2457</v>
      </c>
      <c r="D1726" s="153" t="s">
        <v>137</v>
      </c>
      <c r="E1726" s="153" t="s">
        <v>240</v>
      </c>
      <c r="F1726" s="214">
        <v>1802.26</v>
      </c>
      <c r="G1726" s="215">
        <v>0</v>
      </c>
      <c r="H1726" s="215">
        <v>0</v>
      </c>
      <c r="I1726" s="215">
        <v>1802.26</v>
      </c>
      <c r="J1726" s="215">
        <v>0</v>
      </c>
      <c r="K1726" s="156" t="s">
        <v>124</v>
      </c>
      <c r="N1726" s="157"/>
    </row>
    <row r="1727" spans="1:14" s="149" customFormat="1" ht="36" x14ac:dyDescent="0.3">
      <c r="A1727" s="153">
        <v>1469</v>
      </c>
      <c r="B1727" s="279"/>
      <c r="C1727" s="154" t="s">
        <v>2458</v>
      </c>
      <c r="D1727" s="153" t="s">
        <v>2443</v>
      </c>
      <c r="E1727" s="153" t="s">
        <v>240</v>
      </c>
      <c r="F1727" s="214">
        <v>1816.85</v>
      </c>
      <c r="G1727" s="215">
        <v>0</v>
      </c>
      <c r="H1727" s="215">
        <v>0</v>
      </c>
      <c r="I1727" s="215">
        <v>1816.85</v>
      </c>
      <c r="J1727" s="215">
        <v>0</v>
      </c>
      <c r="K1727" s="156" t="s">
        <v>124</v>
      </c>
      <c r="N1727" s="157"/>
    </row>
    <row r="1728" spans="1:14" s="149" customFormat="1" ht="24" x14ac:dyDescent="0.3">
      <c r="A1728" s="153">
        <v>1470</v>
      </c>
      <c r="B1728" s="280"/>
      <c r="C1728" s="154" t="s">
        <v>2459</v>
      </c>
      <c r="D1728" s="153" t="s">
        <v>1190</v>
      </c>
      <c r="E1728" s="153" t="s">
        <v>240</v>
      </c>
      <c r="F1728" s="214">
        <v>2527.88</v>
      </c>
      <c r="G1728" s="215">
        <v>0</v>
      </c>
      <c r="H1728" s="215">
        <v>0</v>
      </c>
      <c r="I1728" s="215">
        <v>2527.88</v>
      </c>
      <c r="J1728" s="215">
        <v>0</v>
      </c>
      <c r="K1728" s="156" t="s">
        <v>124</v>
      </c>
      <c r="N1728" s="157"/>
    </row>
    <row r="1729" spans="1:14" s="149" customFormat="1" ht="16.8" customHeight="1" x14ac:dyDescent="0.3">
      <c r="A1729" s="281" t="s">
        <v>1675</v>
      </c>
      <c r="B1729" s="282"/>
      <c r="C1729" s="282"/>
      <c r="D1729" s="282"/>
      <c r="E1729" s="282"/>
      <c r="F1729" s="217">
        <f>SUM(F1715:F1728)</f>
        <v>13290.300000000003</v>
      </c>
      <c r="G1729" s="217">
        <f t="shared" ref="G1729:H1729" si="196">SUM(G1715:G1728)</f>
        <v>0</v>
      </c>
      <c r="H1729" s="217">
        <f t="shared" si="196"/>
        <v>0</v>
      </c>
      <c r="I1729" s="217">
        <f>SUM(I1715:I1728)</f>
        <v>13290.300000000003</v>
      </c>
      <c r="J1729" s="217">
        <f>SUM(J1715:J1728)</f>
        <v>0</v>
      </c>
      <c r="K1729" s="167"/>
      <c r="N1729" s="165"/>
    </row>
    <row r="1730" spans="1:14" customFormat="1" ht="30.6" customHeight="1" x14ac:dyDescent="0.3">
      <c r="A1730" s="39">
        <v>1471</v>
      </c>
      <c r="B1730" s="242" t="s">
        <v>2465</v>
      </c>
      <c r="C1730" s="21" t="s">
        <v>2466</v>
      </c>
      <c r="D1730" s="53" t="s">
        <v>2467</v>
      </c>
      <c r="E1730" s="168" t="s">
        <v>2478</v>
      </c>
      <c r="F1730" s="218">
        <v>1440</v>
      </c>
      <c r="G1730" s="218">
        <v>1440</v>
      </c>
      <c r="H1730" s="218">
        <v>0</v>
      </c>
      <c r="I1730" s="218">
        <v>0</v>
      </c>
      <c r="J1730" s="218">
        <v>0</v>
      </c>
      <c r="K1730" s="174">
        <v>46174</v>
      </c>
    </row>
    <row r="1731" spans="1:14" customFormat="1" ht="30.6" customHeight="1" x14ac:dyDescent="0.3">
      <c r="A1731" s="39">
        <v>1472</v>
      </c>
      <c r="B1731" s="243"/>
      <c r="C1731" s="21" t="s">
        <v>2468</v>
      </c>
      <c r="D1731" s="53" t="s">
        <v>2469</v>
      </c>
      <c r="E1731" s="168" t="s">
        <v>2478</v>
      </c>
      <c r="F1731" s="218">
        <v>1400</v>
      </c>
      <c r="G1731" s="218">
        <v>1400</v>
      </c>
      <c r="H1731" s="218">
        <v>0</v>
      </c>
      <c r="I1731" s="218">
        <v>0</v>
      </c>
      <c r="J1731" s="218">
        <v>0</v>
      </c>
      <c r="K1731" s="174">
        <v>46175</v>
      </c>
    </row>
    <row r="1732" spans="1:14" customFormat="1" ht="47.4" customHeight="1" x14ac:dyDescent="0.3">
      <c r="A1732" s="169">
        <v>1473</v>
      </c>
      <c r="B1732" s="244"/>
      <c r="C1732" s="21" t="s">
        <v>2470</v>
      </c>
      <c r="D1732" s="170" t="s">
        <v>2471</v>
      </c>
      <c r="E1732" s="53" t="s">
        <v>2478</v>
      </c>
      <c r="F1732" s="218">
        <v>613.04</v>
      </c>
      <c r="G1732" s="218">
        <v>613.04</v>
      </c>
      <c r="H1732" s="218">
        <v>0</v>
      </c>
      <c r="I1732" s="218">
        <v>0</v>
      </c>
      <c r="J1732" s="218">
        <v>0</v>
      </c>
      <c r="K1732" s="174">
        <v>46143</v>
      </c>
    </row>
    <row r="1733" spans="1:14" customFormat="1" ht="16.5" customHeight="1" x14ac:dyDescent="0.3">
      <c r="A1733" s="283" t="s">
        <v>1628</v>
      </c>
      <c r="B1733" s="240"/>
      <c r="C1733" s="240"/>
      <c r="D1733" s="240"/>
      <c r="E1733" s="171"/>
      <c r="F1733" s="219">
        <f>G1733+H1733+I1733+J1733</f>
        <v>3453.04</v>
      </c>
      <c r="G1733" s="219">
        <f>SUM(G1730:G1732)</f>
        <v>3453.04</v>
      </c>
      <c r="H1733" s="219">
        <f t="shared" ref="H1733:J1733" si="197">SUM(H1730:H1732)</f>
        <v>0</v>
      </c>
      <c r="I1733" s="219">
        <f t="shared" si="197"/>
        <v>0</v>
      </c>
      <c r="J1733" s="219">
        <f t="shared" si="197"/>
        <v>0</v>
      </c>
      <c r="K1733" s="176"/>
    </row>
    <row r="1734" spans="1:14" customFormat="1" ht="32.4" customHeight="1" x14ac:dyDescent="0.3">
      <c r="A1734" s="39">
        <v>1474</v>
      </c>
      <c r="B1734" s="242" t="s">
        <v>2465</v>
      </c>
      <c r="C1734" s="21" t="s">
        <v>2472</v>
      </c>
      <c r="D1734" s="53" t="s">
        <v>2467</v>
      </c>
      <c r="E1734" s="168" t="s">
        <v>2478</v>
      </c>
      <c r="F1734" s="218">
        <v>1440</v>
      </c>
      <c r="G1734" s="218">
        <v>0</v>
      </c>
      <c r="H1734" s="218">
        <v>1440</v>
      </c>
      <c r="I1734" s="218">
        <v>0</v>
      </c>
      <c r="J1734" s="218">
        <v>0</v>
      </c>
      <c r="K1734" s="174">
        <v>46539</v>
      </c>
    </row>
    <row r="1735" spans="1:14" customFormat="1" ht="33.6" customHeight="1" x14ac:dyDescent="0.3">
      <c r="A1735" s="39">
        <v>1475</v>
      </c>
      <c r="B1735" s="243"/>
      <c r="C1735" s="21" t="s">
        <v>2473</v>
      </c>
      <c r="D1735" s="53" t="s">
        <v>2469</v>
      </c>
      <c r="E1735" s="168" t="s">
        <v>2478</v>
      </c>
      <c r="F1735" s="218">
        <v>1400</v>
      </c>
      <c r="G1735" s="218">
        <v>0</v>
      </c>
      <c r="H1735" s="218">
        <v>1400</v>
      </c>
      <c r="I1735" s="218">
        <v>0</v>
      </c>
      <c r="J1735" s="218">
        <v>0</v>
      </c>
      <c r="K1735" s="174">
        <v>46539</v>
      </c>
    </row>
    <row r="1736" spans="1:14" customFormat="1" ht="42.6" customHeight="1" x14ac:dyDescent="0.3">
      <c r="A1736" s="39">
        <v>1476</v>
      </c>
      <c r="B1736" s="244"/>
      <c r="C1736" s="21" t="s">
        <v>2474</v>
      </c>
      <c r="D1736" s="170" t="s">
        <v>2471</v>
      </c>
      <c r="E1736" s="53" t="s">
        <v>2478</v>
      </c>
      <c r="F1736" s="218">
        <v>613.04</v>
      </c>
      <c r="G1736" s="218">
        <v>0</v>
      </c>
      <c r="H1736" s="218">
        <v>613.04</v>
      </c>
      <c r="I1736" s="218">
        <v>0</v>
      </c>
      <c r="J1736" s="218">
        <v>0</v>
      </c>
      <c r="K1736" s="174">
        <v>46508</v>
      </c>
    </row>
    <row r="1737" spans="1:14" customFormat="1" ht="19.5" customHeight="1" x14ac:dyDescent="0.3">
      <c r="A1737" s="283" t="s">
        <v>1622</v>
      </c>
      <c r="B1737" s="240"/>
      <c r="C1737" s="240"/>
      <c r="D1737" s="240"/>
      <c r="E1737" s="171"/>
      <c r="F1737" s="219">
        <f t="shared" ref="F1737:G1737" si="198">SUM(F1734:F1736)</f>
        <v>3453.04</v>
      </c>
      <c r="G1737" s="219">
        <f t="shared" si="198"/>
        <v>0</v>
      </c>
      <c r="H1737" s="219">
        <f>SUM(H1734:H1736)</f>
        <v>3453.04</v>
      </c>
      <c r="I1737" s="219">
        <f t="shared" ref="I1737:J1737" si="199">SUM(I1734:I1736)</f>
        <v>0</v>
      </c>
      <c r="J1737" s="219">
        <f t="shared" si="199"/>
        <v>0</v>
      </c>
      <c r="K1737" s="175"/>
    </row>
    <row r="1738" spans="1:14" customFormat="1" ht="32.4" customHeight="1" x14ac:dyDescent="0.3">
      <c r="A1738" s="39">
        <v>1477</v>
      </c>
      <c r="B1738" s="242" t="s">
        <v>2465</v>
      </c>
      <c r="C1738" s="21" t="s">
        <v>2475</v>
      </c>
      <c r="D1738" s="53" t="s">
        <v>2467</v>
      </c>
      <c r="E1738" s="168" t="s">
        <v>2478</v>
      </c>
      <c r="F1738" s="218">
        <v>1440</v>
      </c>
      <c r="G1738" s="218">
        <v>0</v>
      </c>
      <c r="H1738" s="218">
        <v>0</v>
      </c>
      <c r="I1738" s="218">
        <v>1440</v>
      </c>
      <c r="J1738" s="218">
        <v>0</v>
      </c>
      <c r="K1738" s="174">
        <v>46905</v>
      </c>
    </row>
    <row r="1739" spans="1:14" customFormat="1" ht="34.200000000000003" customHeight="1" x14ac:dyDescent="0.3">
      <c r="A1739" s="39">
        <v>1478</v>
      </c>
      <c r="B1739" s="243"/>
      <c r="C1739" s="21" t="s">
        <v>2476</v>
      </c>
      <c r="D1739" s="53" t="s">
        <v>2469</v>
      </c>
      <c r="E1739" s="168" t="s">
        <v>2478</v>
      </c>
      <c r="F1739" s="218">
        <v>1400</v>
      </c>
      <c r="G1739" s="218">
        <v>0</v>
      </c>
      <c r="H1739" s="218">
        <v>0</v>
      </c>
      <c r="I1739" s="218">
        <v>1400</v>
      </c>
      <c r="J1739" s="218">
        <v>0</v>
      </c>
      <c r="K1739" s="174">
        <v>46905</v>
      </c>
    </row>
    <row r="1740" spans="1:14" customFormat="1" ht="42.6" customHeight="1" x14ac:dyDescent="0.3">
      <c r="A1740" s="169">
        <v>1479</v>
      </c>
      <c r="B1740" s="244"/>
      <c r="C1740" s="21" t="s">
        <v>2477</v>
      </c>
      <c r="D1740" s="170" t="s">
        <v>2471</v>
      </c>
      <c r="E1740" s="53" t="s">
        <v>2478</v>
      </c>
      <c r="F1740" s="218">
        <v>613.04</v>
      </c>
      <c r="G1740" s="218">
        <v>0</v>
      </c>
      <c r="H1740" s="218">
        <v>0</v>
      </c>
      <c r="I1740" s="218">
        <v>613.04</v>
      </c>
      <c r="J1740" s="218">
        <v>0</v>
      </c>
      <c r="K1740" s="174">
        <v>46874</v>
      </c>
    </row>
    <row r="1741" spans="1:14" customFormat="1" ht="18" customHeight="1" x14ac:dyDescent="0.3">
      <c r="A1741" s="283" t="s">
        <v>1675</v>
      </c>
      <c r="B1741" s="240"/>
      <c r="C1741" s="240"/>
      <c r="D1741" s="240"/>
      <c r="E1741" s="172"/>
      <c r="F1741" s="219">
        <f t="shared" ref="F1741:H1741" si="200">SUM(F1738:F1740)</f>
        <v>3453.04</v>
      </c>
      <c r="G1741" s="219">
        <f t="shared" si="200"/>
        <v>0</v>
      </c>
      <c r="H1741" s="219">
        <f t="shared" si="200"/>
        <v>0</v>
      </c>
      <c r="I1741" s="219">
        <f>SUM(I1738:I1740)</f>
        <v>3453.04</v>
      </c>
      <c r="J1741" s="219">
        <f>SUM(J1738:J1740)</f>
        <v>0</v>
      </c>
      <c r="K1741" s="173"/>
    </row>
    <row r="1742" spans="1:14" s="182" customFormat="1" ht="36" customHeight="1" x14ac:dyDescent="0.3">
      <c r="A1742" s="177" t="s">
        <v>2682</v>
      </c>
      <c r="B1742" s="262" t="s">
        <v>2479</v>
      </c>
      <c r="C1742" s="177" t="s">
        <v>2480</v>
      </c>
      <c r="D1742" s="177" t="s">
        <v>2481</v>
      </c>
      <c r="E1742" s="181" t="s">
        <v>2482</v>
      </c>
      <c r="F1742" s="220">
        <v>125</v>
      </c>
      <c r="G1742" s="220">
        <v>125</v>
      </c>
      <c r="H1742" s="218">
        <v>0</v>
      </c>
      <c r="I1742" s="218">
        <v>0</v>
      </c>
      <c r="J1742" s="218">
        <v>0</v>
      </c>
      <c r="K1742" s="188">
        <v>46082</v>
      </c>
    </row>
    <row r="1743" spans="1:14" s="182" customFormat="1" ht="35.25" customHeight="1" x14ac:dyDescent="0.3">
      <c r="A1743" s="177" t="s">
        <v>2683</v>
      </c>
      <c r="B1743" s="263"/>
      <c r="C1743" s="177" t="s">
        <v>2483</v>
      </c>
      <c r="D1743" s="177" t="s">
        <v>2484</v>
      </c>
      <c r="E1743" s="181" t="s">
        <v>2482</v>
      </c>
      <c r="F1743" s="220" t="s">
        <v>2485</v>
      </c>
      <c r="G1743" s="220" t="s">
        <v>2485</v>
      </c>
      <c r="H1743" s="218">
        <v>0</v>
      </c>
      <c r="I1743" s="218">
        <v>0</v>
      </c>
      <c r="J1743" s="218">
        <v>0</v>
      </c>
      <c r="K1743" s="188">
        <v>46113</v>
      </c>
    </row>
    <row r="1744" spans="1:14" s="182" customFormat="1" ht="29.25" customHeight="1" x14ac:dyDescent="0.3">
      <c r="A1744" s="177" t="s">
        <v>2684</v>
      </c>
      <c r="B1744" s="263"/>
      <c r="C1744" s="177" t="s">
        <v>2486</v>
      </c>
      <c r="D1744" s="177" t="s">
        <v>2487</v>
      </c>
      <c r="E1744" s="181" t="s">
        <v>2482</v>
      </c>
      <c r="F1744" s="220" t="s">
        <v>2488</v>
      </c>
      <c r="G1744" s="220" t="s">
        <v>2488</v>
      </c>
      <c r="H1744" s="218">
        <v>0</v>
      </c>
      <c r="I1744" s="218">
        <v>0</v>
      </c>
      <c r="J1744" s="218">
        <v>0</v>
      </c>
      <c r="K1744" s="188">
        <v>46143</v>
      </c>
    </row>
    <row r="1745" spans="1:13" s="182" customFormat="1" ht="27.75" customHeight="1" x14ac:dyDescent="0.3">
      <c r="A1745" s="177" t="s">
        <v>2685</v>
      </c>
      <c r="B1745" s="263"/>
      <c r="C1745" s="177" t="s">
        <v>2489</v>
      </c>
      <c r="D1745" s="177" t="s">
        <v>2490</v>
      </c>
      <c r="E1745" s="181" t="s">
        <v>2482</v>
      </c>
      <c r="F1745" s="220" t="s">
        <v>2491</v>
      </c>
      <c r="G1745" s="220" t="s">
        <v>2491</v>
      </c>
      <c r="H1745" s="218">
        <v>0</v>
      </c>
      <c r="I1745" s="218">
        <v>0</v>
      </c>
      <c r="J1745" s="218">
        <v>0</v>
      </c>
      <c r="K1745" s="188">
        <v>46143</v>
      </c>
    </row>
    <row r="1746" spans="1:13" s="182" customFormat="1" ht="25.8" customHeight="1" x14ac:dyDescent="0.3">
      <c r="A1746" s="177" t="s">
        <v>2686</v>
      </c>
      <c r="B1746" s="263"/>
      <c r="C1746" s="177" t="s">
        <v>2492</v>
      </c>
      <c r="D1746" s="177" t="s">
        <v>2493</v>
      </c>
      <c r="E1746" s="181" t="s">
        <v>2482</v>
      </c>
      <c r="F1746" s="220" t="s">
        <v>2494</v>
      </c>
      <c r="G1746" s="220" t="s">
        <v>2494</v>
      </c>
      <c r="H1746" s="218">
        <v>0</v>
      </c>
      <c r="I1746" s="218">
        <v>0</v>
      </c>
      <c r="J1746" s="218">
        <v>0</v>
      </c>
      <c r="K1746" s="188">
        <v>46266</v>
      </c>
    </row>
    <row r="1747" spans="1:13" s="182" customFormat="1" ht="40.5" customHeight="1" x14ac:dyDescent="0.3">
      <c r="A1747" s="177" t="s">
        <v>2687</v>
      </c>
      <c r="B1747" s="263"/>
      <c r="C1747" s="177" t="s">
        <v>2495</v>
      </c>
      <c r="D1747" s="177" t="s">
        <v>2496</v>
      </c>
      <c r="E1747" s="181" t="s">
        <v>2482</v>
      </c>
      <c r="F1747" s="220" t="s">
        <v>2491</v>
      </c>
      <c r="G1747" s="220" t="s">
        <v>2491</v>
      </c>
      <c r="H1747" s="218">
        <v>0</v>
      </c>
      <c r="I1747" s="218">
        <v>0</v>
      </c>
      <c r="J1747" s="218">
        <v>0</v>
      </c>
      <c r="K1747" s="188">
        <v>46266</v>
      </c>
    </row>
    <row r="1748" spans="1:13" s="182" customFormat="1" ht="27" customHeight="1" x14ac:dyDescent="0.3">
      <c r="A1748" s="177" t="s">
        <v>2688</v>
      </c>
      <c r="B1748" s="263"/>
      <c r="C1748" s="177" t="s">
        <v>2497</v>
      </c>
      <c r="D1748" s="177" t="s">
        <v>2498</v>
      </c>
      <c r="E1748" s="181" t="s">
        <v>2482</v>
      </c>
      <c r="F1748" s="220" t="s">
        <v>2499</v>
      </c>
      <c r="G1748" s="220" t="s">
        <v>2499</v>
      </c>
      <c r="H1748" s="218">
        <v>0</v>
      </c>
      <c r="I1748" s="218">
        <v>0</v>
      </c>
      <c r="J1748" s="218">
        <v>0</v>
      </c>
      <c r="K1748" s="188">
        <v>46023</v>
      </c>
      <c r="M1748" s="184"/>
    </row>
    <row r="1749" spans="1:13" s="182" customFormat="1" ht="24" customHeight="1" x14ac:dyDescent="0.3">
      <c r="A1749" s="177" t="s">
        <v>2689</v>
      </c>
      <c r="B1749" s="264"/>
      <c r="C1749" s="177" t="s">
        <v>2500</v>
      </c>
      <c r="D1749" s="177" t="s">
        <v>70</v>
      </c>
      <c r="E1749" s="181" t="s">
        <v>2501</v>
      </c>
      <c r="F1749" s="220" t="s">
        <v>2502</v>
      </c>
      <c r="G1749" s="220" t="s">
        <v>2502</v>
      </c>
      <c r="H1749" s="218">
        <v>0</v>
      </c>
      <c r="I1749" s="218">
        <v>0</v>
      </c>
      <c r="J1749" s="218">
        <v>0</v>
      </c>
      <c r="K1749" s="188">
        <v>46113</v>
      </c>
    </row>
    <row r="1750" spans="1:13" s="182" customFormat="1" ht="18.600000000000001" customHeight="1" x14ac:dyDescent="0.3">
      <c r="A1750" s="271" t="s">
        <v>2503</v>
      </c>
      <c r="B1750" s="272"/>
      <c r="C1750" s="272"/>
      <c r="D1750" s="273"/>
      <c r="E1750" s="181"/>
      <c r="F1750" s="221" t="s">
        <v>2504</v>
      </c>
      <c r="G1750" s="239">
        <f>G1749+G1748+G1747+G1746+G1745+G1744+G1743+G1742</f>
        <v>1509</v>
      </c>
      <c r="H1750" s="218">
        <v>0</v>
      </c>
      <c r="I1750" s="218">
        <v>0</v>
      </c>
      <c r="J1750" s="218">
        <v>0</v>
      </c>
      <c r="K1750" s="188"/>
    </row>
    <row r="1751" spans="1:13" s="182" customFormat="1" ht="26.25" customHeight="1" x14ac:dyDescent="0.3">
      <c r="A1751" s="177" t="s">
        <v>2690</v>
      </c>
      <c r="B1751" s="268" t="s">
        <v>2479</v>
      </c>
      <c r="C1751" s="177" t="s">
        <v>2505</v>
      </c>
      <c r="D1751" s="177" t="s">
        <v>2506</v>
      </c>
      <c r="E1751" s="181" t="s">
        <v>2482</v>
      </c>
      <c r="F1751" s="220" t="s">
        <v>2499</v>
      </c>
      <c r="G1751" s="218">
        <v>0</v>
      </c>
      <c r="H1751" s="220" t="s">
        <v>2499</v>
      </c>
      <c r="I1751" s="218">
        <v>0</v>
      </c>
      <c r="J1751" s="218">
        <v>0</v>
      </c>
      <c r="K1751" s="188">
        <v>46327</v>
      </c>
    </row>
    <row r="1752" spans="1:13" s="182" customFormat="1" ht="48" customHeight="1" x14ac:dyDescent="0.3">
      <c r="A1752" s="177" t="s">
        <v>2691</v>
      </c>
      <c r="B1752" s="269"/>
      <c r="C1752" s="177" t="s">
        <v>2507</v>
      </c>
      <c r="D1752" s="177" t="s">
        <v>2508</v>
      </c>
      <c r="E1752" s="181" t="s">
        <v>2501</v>
      </c>
      <c r="F1752" s="222" t="s">
        <v>2509</v>
      </c>
      <c r="G1752" s="218">
        <v>0</v>
      </c>
      <c r="H1752" s="222" t="s">
        <v>2509</v>
      </c>
      <c r="I1752" s="218">
        <v>0</v>
      </c>
      <c r="J1752" s="218">
        <v>0</v>
      </c>
      <c r="K1752" s="188">
        <v>46296</v>
      </c>
    </row>
    <row r="1753" spans="1:13" s="182" customFormat="1" ht="39.75" customHeight="1" x14ac:dyDescent="0.3">
      <c r="A1753" s="177" t="s">
        <v>2692</v>
      </c>
      <c r="B1753" s="269"/>
      <c r="C1753" s="177" t="s">
        <v>2510</v>
      </c>
      <c r="D1753" s="177" t="s">
        <v>2511</v>
      </c>
      <c r="E1753" s="181" t="s">
        <v>2501</v>
      </c>
      <c r="F1753" s="222" t="s">
        <v>2512</v>
      </c>
      <c r="G1753" s="218">
        <v>0</v>
      </c>
      <c r="H1753" s="222" t="s">
        <v>2512</v>
      </c>
      <c r="I1753" s="218">
        <v>0</v>
      </c>
      <c r="J1753" s="218">
        <v>0</v>
      </c>
      <c r="K1753" s="188">
        <v>46296</v>
      </c>
    </row>
    <row r="1754" spans="1:13" s="182" customFormat="1" ht="39.75" customHeight="1" x14ac:dyDescent="0.3">
      <c r="A1754" s="177" t="s">
        <v>2693</v>
      </c>
      <c r="B1754" s="269"/>
      <c r="C1754" s="177" t="s">
        <v>2513</v>
      </c>
      <c r="D1754" s="177" t="s">
        <v>2514</v>
      </c>
      <c r="E1754" s="181" t="s">
        <v>2501</v>
      </c>
      <c r="F1754" s="222" t="s">
        <v>2512</v>
      </c>
      <c r="G1754" s="218">
        <v>0</v>
      </c>
      <c r="H1754" s="222" t="s">
        <v>2512</v>
      </c>
      <c r="I1754" s="218">
        <v>0</v>
      </c>
      <c r="J1754" s="218">
        <v>0</v>
      </c>
      <c r="K1754" s="188" t="s">
        <v>2560</v>
      </c>
    </row>
    <row r="1755" spans="1:13" s="182" customFormat="1" ht="39" customHeight="1" x14ac:dyDescent="0.3">
      <c r="A1755" s="177" t="s">
        <v>2694</v>
      </c>
      <c r="B1755" s="269"/>
      <c r="C1755" s="177" t="s">
        <v>2515</v>
      </c>
      <c r="D1755" s="177" t="s">
        <v>2514</v>
      </c>
      <c r="E1755" s="181" t="s">
        <v>2501</v>
      </c>
      <c r="F1755" s="222" t="s">
        <v>2516</v>
      </c>
      <c r="G1755" s="218">
        <v>0</v>
      </c>
      <c r="H1755" s="222" t="s">
        <v>2516</v>
      </c>
      <c r="I1755" s="218">
        <v>0</v>
      </c>
      <c r="J1755" s="218">
        <v>0</v>
      </c>
      <c r="K1755" s="188">
        <v>46296</v>
      </c>
    </row>
    <row r="1756" spans="1:13" s="182" customFormat="1" ht="50.25" customHeight="1" x14ac:dyDescent="0.3">
      <c r="A1756" s="177" t="s">
        <v>2695</v>
      </c>
      <c r="B1756" s="269"/>
      <c r="C1756" s="177" t="s">
        <v>2517</v>
      </c>
      <c r="D1756" s="177" t="s">
        <v>2518</v>
      </c>
      <c r="E1756" s="181" t="s">
        <v>2501</v>
      </c>
      <c r="F1756" s="222" t="s">
        <v>2519</v>
      </c>
      <c r="G1756" s="218">
        <v>0</v>
      </c>
      <c r="H1756" s="222" t="s">
        <v>2519</v>
      </c>
      <c r="I1756" s="218">
        <v>0</v>
      </c>
      <c r="J1756" s="218">
        <v>0</v>
      </c>
      <c r="K1756" s="188">
        <v>46327</v>
      </c>
    </row>
    <row r="1757" spans="1:13" s="182" customFormat="1" ht="35.25" customHeight="1" x14ac:dyDescent="0.3">
      <c r="A1757" s="177" t="s">
        <v>2696</v>
      </c>
      <c r="B1757" s="269"/>
      <c r="C1757" s="177" t="s">
        <v>2520</v>
      </c>
      <c r="D1757" s="177" t="s">
        <v>2508</v>
      </c>
      <c r="E1757" s="181" t="s">
        <v>2501</v>
      </c>
      <c r="F1757" s="222" t="s">
        <v>2521</v>
      </c>
      <c r="G1757" s="218">
        <v>0</v>
      </c>
      <c r="H1757" s="222" t="s">
        <v>2521</v>
      </c>
      <c r="I1757" s="218">
        <v>0</v>
      </c>
      <c r="J1757" s="218">
        <v>0</v>
      </c>
      <c r="K1757" s="188">
        <v>46327</v>
      </c>
    </row>
    <row r="1758" spans="1:13" s="182" customFormat="1" ht="47.25" customHeight="1" x14ac:dyDescent="0.3">
      <c r="A1758" s="177" t="s">
        <v>2697</v>
      </c>
      <c r="B1758" s="269"/>
      <c r="C1758" s="177" t="s">
        <v>2522</v>
      </c>
      <c r="D1758" s="177" t="s">
        <v>2523</v>
      </c>
      <c r="E1758" s="181" t="s">
        <v>2501</v>
      </c>
      <c r="F1758" s="222" t="s">
        <v>2519</v>
      </c>
      <c r="G1758" s="218">
        <v>0</v>
      </c>
      <c r="H1758" s="222" t="s">
        <v>2519</v>
      </c>
      <c r="I1758" s="218">
        <v>0</v>
      </c>
      <c r="J1758" s="218">
        <v>0</v>
      </c>
      <c r="K1758" s="188">
        <v>46327</v>
      </c>
    </row>
    <row r="1759" spans="1:13" s="182" customFormat="1" ht="49.5" customHeight="1" x14ac:dyDescent="0.3">
      <c r="A1759" s="177" t="s">
        <v>2698</v>
      </c>
      <c r="B1759" s="269"/>
      <c r="C1759" s="177" t="s">
        <v>2524</v>
      </c>
      <c r="D1759" s="177" t="s">
        <v>2518</v>
      </c>
      <c r="E1759" s="181" t="s">
        <v>2501</v>
      </c>
      <c r="F1759" s="222" t="s">
        <v>2525</v>
      </c>
      <c r="G1759" s="218">
        <v>0</v>
      </c>
      <c r="H1759" s="222" t="s">
        <v>2525</v>
      </c>
      <c r="I1759" s="218">
        <v>0</v>
      </c>
      <c r="J1759" s="218">
        <v>0</v>
      </c>
      <c r="K1759" s="188">
        <v>46327</v>
      </c>
    </row>
    <row r="1760" spans="1:13" s="182" customFormat="1" ht="37.5" customHeight="1" x14ac:dyDescent="0.3">
      <c r="A1760" s="177" t="s">
        <v>2699</v>
      </c>
      <c r="B1760" s="269"/>
      <c r="C1760" s="179" t="s">
        <v>2526</v>
      </c>
      <c r="D1760" s="179" t="s">
        <v>2514</v>
      </c>
      <c r="E1760" s="186" t="s">
        <v>2501</v>
      </c>
      <c r="F1760" s="222" t="s">
        <v>2525</v>
      </c>
      <c r="G1760" s="218">
        <v>0</v>
      </c>
      <c r="H1760" s="222" t="s">
        <v>2525</v>
      </c>
      <c r="I1760" s="218">
        <v>0</v>
      </c>
      <c r="J1760" s="218">
        <v>0</v>
      </c>
      <c r="K1760" s="188">
        <v>46327</v>
      </c>
    </row>
    <row r="1761" spans="1:13" s="182" customFormat="1" ht="29.25" customHeight="1" x14ac:dyDescent="0.3">
      <c r="A1761" s="177" t="s">
        <v>2700</v>
      </c>
      <c r="B1761" s="269"/>
      <c r="C1761" s="178" t="s">
        <v>2527</v>
      </c>
      <c r="D1761" s="178" t="s">
        <v>2487</v>
      </c>
      <c r="E1761" s="185" t="s">
        <v>2482</v>
      </c>
      <c r="F1761" s="222" t="s">
        <v>2488</v>
      </c>
      <c r="G1761" s="218">
        <v>0</v>
      </c>
      <c r="H1761" s="222" t="s">
        <v>2488</v>
      </c>
      <c r="I1761" s="218">
        <v>0</v>
      </c>
      <c r="J1761" s="218">
        <v>0</v>
      </c>
      <c r="K1761" s="188">
        <v>46447</v>
      </c>
    </row>
    <row r="1762" spans="1:13" s="182" customFormat="1" ht="29.25" customHeight="1" x14ac:dyDescent="0.3">
      <c r="A1762" s="177" t="s">
        <v>2701</v>
      </c>
      <c r="B1762" s="269"/>
      <c r="C1762" s="178" t="s">
        <v>2528</v>
      </c>
      <c r="D1762" s="178" t="s">
        <v>70</v>
      </c>
      <c r="E1762" s="185" t="s">
        <v>2482</v>
      </c>
      <c r="F1762" s="222" t="s">
        <v>2502</v>
      </c>
      <c r="G1762" s="218">
        <v>0</v>
      </c>
      <c r="H1762" s="222" t="s">
        <v>2502</v>
      </c>
      <c r="I1762" s="218">
        <v>0</v>
      </c>
      <c r="J1762" s="218">
        <v>0</v>
      </c>
      <c r="K1762" s="188">
        <v>46478</v>
      </c>
    </row>
    <row r="1763" spans="1:13" s="182" customFormat="1" ht="36.75" customHeight="1" x14ac:dyDescent="0.3">
      <c r="A1763" s="177" t="s">
        <v>2702</v>
      </c>
      <c r="B1763" s="269"/>
      <c r="C1763" s="178" t="s">
        <v>2529</v>
      </c>
      <c r="D1763" s="178" t="s">
        <v>2484</v>
      </c>
      <c r="E1763" s="185" t="s">
        <v>2482</v>
      </c>
      <c r="F1763" s="222" t="s">
        <v>2485</v>
      </c>
      <c r="G1763" s="218">
        <v>0</v>
      </c>
      <c r="H1763" s="222" t="s">
        <v>2485</v>
      </c>
      <c r="I1763" s="218">
        <v>0</v>
      </c>
      <c r="J1763" s="218">
        <v>0</v>
      </c>
      <c r="K1763" s="188">
        <v>46478</v>
      </c>
    </row>
    <row r="1764" spans="1:13" s="182" customFormat="1" ht="29.25" customHeight="1" x14ac:dyDescent="0.3">
      <c r="A1764" s="177" t="s">
        <v>2703</v>
      </c>
      <c r="B1764" s="269"/>
      <c r="C1764" s="178" t="s">
        <v>2530</v>
      </c>
      <c r="D1764" s="178" t="s">
        <v>2490</v>
      </c>
      <c r="E1764" s="185" t="s">
        <v>2482</v>
      </c>
      <c r="F1764" s="222" t="s">
        <v>2491</v>
      </c>
      <c r="G1764" s="218">
        <v>0</v>
      </c>
      <c r="H1764" s="222" t="s">
        <v>2491</v>
      </c>
      <c r="I1764" s="218">
        <v>0</v>
      </c>
      <c r="J1764" s="218">
        <v>0</v>
      </c>
      <c r="K1764" s="188">
        <v>46508</v>
      </c>
    </row>
    <row r="1765" spans="1:13" s="182" customFormat="1" ht="43.5" customHeight="1" x14ac:dyDescent="0.3">
      <c r="A1765" s="177" t="s">
        <v>2704</v>
      </c>
      <c r="B1765" s="269"/>
      <c r="C1765" s="178" t="s">
        <v>2531</v>
      </c>
      <c r="D1765" s="178" t="s">
        <v>2481</v>
      </c>
      <c r="E1765" s="185" t="s">
        <v>2482</v>
      </c>
      <c r="F1765" s="222" t="s">
        <v>2532</v>
      </c>
      <c r="G1765" s="218">
        <v>0</v>
      </c>
      <c r="H1765" s="222" t="s">
        <v>2532</v>
      </c>
      <c r="I1765" s="218">
        <v>0</v>
      </c>
      <c r="J1765" s="218">
        <v>0</v>
      </c>
      <c r="K1765" s="188">
        <v>46508</v>
      </c>
    </row>
    <row r="1766" spans="1:13" s="182" customFormat="1" ht="40.5" customHeight="1" x14ac:dyDescent="0.3">
      <c r="A1766" s="177" t="s">
        <v>2705</v>
      </c>
      <c r="B1766" s="269"/>
      <c r="C1766" s="178" t="s">
        <v>2533</v>
      </c>
      <c r="D1766" s="178" t="s">
        <v>2493</v>
      </c>
      <c r="E1766" s="185" t="s">
        <v>2482</v>
      </c>
      <c r="F1766" s="222" t="s">
        <v>2534</v>
      </c>
      <c r="G1766" s="218">
        <v>0</v>
      </c>
      <c r="H1766" s="222" t="s">
        <v>2534</v>
      </c>
      <c r="I1766" s="218">
        <v>0</v>
      </c>
      <c r="J1766" s="218">
        <v>0</v>
      </c>
      <c r="K1766" s="188">
        <v>46631</v>
      </c>
    </row>
    <row r="1767" spans="1:13" s="182" customFormat="1" ht="42.75" customHeight="1" x14ac:dyDescent="0.3">
      <c r="A1767" s="177" t="s">
        <v>2706</v>
      </c>
      <c r="B1767" s="270"/>
      <c r="C1767" s="178" t="s">
        <v>2535</v>
      </c>
      <c r="D1767" s="178" t="s">
        <v>2496</v>
      </c>
      <c r="E1767" s="185" t="s">
        <v>2482</v>
      </c>
      <c r="F1767" s="222" t="s">
        <v>2491</v>
      </c>
      <c r="G1767" s="218">
        <v>0</v>
      </c>
      <c r="H1767" s="222" t="s">
        <v>2491</v>
      </c>
      <c r="I1767" s="218">
        <v>0</v>
      </c>
      <c r="J1767" s="218">
        <v>0</v>
      </c>
      <c r="K1767" s="188">
        <v>46631</v>
      </c>
      <c r="M1767" s="184"/>
    </row>
    <row r="1768" spans="1:13" s="182" customFormat="1" ht="21" customHeight="1" x14ac:dyDescent="0.3">
      <c r="A1768" s="274" t="s">
        <v>1622</v>
      </c>
      <c r="B1768" s="275"/>
      <c r="C1768" s="275"/>
      <c r="D1768" s="275"/>
      <c r="E1768" s="276"/>
      <c r="F1768" s="221" t="s">
        <v>2536</v>
      </c>
      <c r="G1768" s="218">
        <v>0</v>
      </c>
      <c r="H1768" s="239" t="s">
        <v>2536</v>
      </c>
      <c r="I1768" s="218">
        <v>0</v>
      </c>
      <c r="J1768" s="218">
        <v>0</v>
      </c>
      <c r="K1768" s="188"/>
    </row>
    <row r="1769" spans="1:13" s="182" customFormat="1" ht="48" customHeight="1" x14ac:dyDescent="0.3">
      <c r="A1769" s="177" t="s">
        <v>2707</v>
      </c>
      <c r="B1769" s="265" t="s">
        <v>2479</v>
      </c>
      <c r="C1769" s="178" t="s">
        <v>2537</v>
      </c>
      <c r="D1769" s="178" t="s">
        <v>2538</v>
      </c>
      <c r="E1769" s="185" t="s">
        <v>2501</v>
      </c>
      <c r="F1769" s="222" t="s">
        <v>2516</v>
      </c>
      <c r="G1769" s="218">
        <v>0</v>
      </c>
      <c r="H1769" s="218">
        <v>0</v>
      </c>
      <c r="I1769" s="222" t="s">
        <v>2516</v>
      </c>
      <c r="J1769" s="218">
        <v>0</v>
      </c>
      <c r="K1769" s="188">
        <v>46661</v>
      </c>
    </row>
    <row r="1770" spans="1:13" s="182" customFormat="1" ht="48" customHeight="1" x14ac:dyDescent="0.3">
      <c r="A1770" s="177" t="s">
        <v>2708</v>
      </c>
      <c r="B1770" s="266"/>
      <c r="C1770" s="178" t="s">
        <v>2539</v>
      </c>
      <c r="D1770" s="178" t="s">
        <v>2540</v>
      </c>
      <c r="E1770" s="185" t="s">
        <v>2501</v>
      </c>
      <c r="F1770" s="222" t="s">
        <v>2525</v>
      </c>
      <c r="G1770" s="218">
        <v>0</v>
      </c>
      <c r="H1770" s="218">
        <v>0</v>
      </c>
      <c r="I1770" s="222" t="s">
        <v>2525</v>
      </c>
      <c r="J1770" s="218">
        <v>0</v>
      </c>
      <c r="K1770" s="188">
        <v>46661</v>
      </c>
    </row>
    <row r="1771" spans="1:13" s="182" customFormat="1" ht="48" customHeight="1" x14ac:dyDescent="0.3">
      <c r="A1771" s="177" t="s">
        <v>2709</v>
      </c>
      <c r="B1771" s="266"/>
      <c r="C1771" s="178" t="s">
        <v>2541</v>
      </c>
      <c r="D1771" s="178" t="s">
        <v>2540</v>
      </c>
      <c r="E1771" s="185" t="s">
        <v>2501</v>
      </c>
      <c r="F1771" s="222" t="s">
        <v>2519</v>
      </c>
      <c r="G1771" s="218">
        <v>0</v>
      </c>
      <c r="H1771" s="218">
        <v>0</v>
      </c>
      <c r="I1771" s="222" t="s">
        <v>2519</v>
      </c>
      <c r="J1771" s="218">
        <v>0</v>
      </c>
      <c r="K1771" s="188" t="s">
        <v>2561</v>
      </c>
    </row>
    <row r="1772" spans="1:13" s="182" customFormat="1" ht="30" customHeight="1" x14ac:dyDescent="0.3">
      <c r="A1772" s="177" t="s">
        <v>2710</v>
      </c>
      <c r="B1772" s="266"/>
      <c r="C1772" s="178" t="s">
        <v>2542</v>
      </c>
      <c r="D1772" s="178" t="s">
        <v>2543</v>
      </c>
      <c r="E1772" s="185" t="s">
        <v>2482</v>
      </c>
      <c r="F1772" s="222" t="s">
        <v>2499</v>
      </c>
      <c r="G1772" s="218">
        <v>0</v>
      </c>
      <c r="H1772" s="218">
        <v>0</v>
      </c>
      <c r="I1772" s="222" t="s">
        <v>2499</v>
      </c>
      <c r="J1772" s="218">
        <v>0</v>
      </c>
      <c r="K1772" s="188">
        <v>46692</v>
      </c>
    </row>
    <row r="1773" spans="1:13" s="182" customFormat="1" ht="48" customHeight="1" x14ac:dyDescent="0.3">
      <c r="A1773" s="177" t="s">
        <v>2711</v>
      </c>
      <c r="B1773" s="266"/>
      <c r="C1773" s="178" t="s">
        <v>2544</v>
      </c>
      <c r="D1773" s="178" t="s">
        <v>2545</v>
      </c>
      <c r="E1773" s="185" t="s">
        <v>2501</v>
      </c>
      <c r="F1773" s="222" t="s">
        <v>2519</v>
      </c>
      <c r="G1773" s="218">
        <v>0</v>
      </c>
      <c r="H1773" s="218">
        <v>0</v>
      </c>
      <c r="I1773" s="222" t="s">
        <v>2519</v>
      </c>
      <c r="J1773" s="218">
        <v>0</v>
      </c>
      <c r="K1773" s="188">
        <v>46692</v>
      </c>
    </row>
    <row r="1774" spans="1:13" s="182" customFormat="1" ht="48" customHeight="1" x14ac:dyDescent="0.3">
      <c r="A1774" s="177" t="s">
        <v>2712</v>
      </c>
      <c r="B1774" s="266"/>
      <c r="C1774" s="178" t="s">
        <v>2546</v>
      </c>
      <c r="D1774" s="178" t="s">
        <v>2538</v>
      </c>
      <c r="E1774" s="185" t="s">
        <v>2501</v>
      </c>
      <c r="F1774" s="222" t="s">
        <v>2512</v>
      </c>
      <c r="G1774" s="218">
        <v>0</v>
      </c>
      <c r="H1774" s="218">
        <v>0</v>
      </c>
      <c r="I1774" s="222" t="s">
        <v>2512</v>
      </c>
      <c r="J1774" s="218">
        <v>0</v>
      </c>
      <c r="K1774" s="188">
        <v>46661</v>
      </c>
    </row>
    <row r="1775" spans="1:13" s="182" customFormat="1" ht="48" customHeight="1" x14ac:dyDescent="0.3">
      <c r="A1775" s="177" t="s">
        <v>2713</v>
      </c>
      <c r="B1775" s="266"/>
      <c r="C1775" s="178" t="s">
        <v>2547</v>
      </c>
      <c r="D1775" s="178" t="s">
        <v>2548</v>
      </c>
      <c r="E1775" s="185" t="s">
        <v>2501</v>
      </c>
      <c r="F1775" s="222" t="s">
        <v>2521</v>
      </c>
      <c r="G1775" s="218">
        <v>0</v>
      </c>
      <c r="H1775" s="218">
        <v>0</v>
      </c>
      <c r="I1775" s="222" t="s">
        <v>2521</v>
      </c>
      <c r="J1775" s="218">
        <v>0</v>
      </c>
      <c r="K1775" s="188">
        <v>46661</v>
      </c>
    </row>
    <row r="1776" spans="1:13" s="182" customFormat="1" ht="48" customHeight="1" x14ac:dyDescent="0.3">
      <c r="A1776" s="177" t="s">
        <v>2714</v>
      </c>
      <c r="B1776" s="266"/>
      <c r="C1776" s="178" t="s">
        <v>2549</v>
      </c>
      <c r="D1776" s="178" t="s">
        <v>2548</v>
      </c>
      <c r="E1776" s="185" t="s">
        <v>2501</v>
      </c>
      <c r="F1776" s="222" t="s">
        <v>2509</v>
      </c>
      <c r="G1776" s="218">
        <v>0</v>
      </c>
      <c r="H1776" s="218">
        <v>0</v>
      </c>
      <c r="I1776" s="222" t="s">
        <v>2509</v>
      </c>
      <c r="J1776" s="218">
        <v>0</v>
      </c>
      <c r="K1776" s="188">
        <v>46661</v>
      </c>
    </row>
    <row r="1777" spans="1:11" s="182" customFormat="1" ht="48" customHeight="1" x14ac:dyDescent="0.3">
      <c r="A1777" s="177" t="s">
        <v>2715</v>
      </c>
      <c r="B1777" s="266"/>
      <c r="C1777" s="178" t="s">
        <v>2550</v>
      </c>
      <c r="D1777" s="178" t="s">
        <v>2538</v>
      </c>
      <c r="E1777" s="185" t="s">
        <v>2501</v>
      </c>
      <c r="F1777" s="222" t="s">
        <v>2525</v>
      </c>
      <c r="G1777" s="218">
        <v>0</v>
      </c>
      <c r="H1777" s="218">
        <v>0</v>
      </c>
      <c r="I1777" s="222" t="s">
        <v>2525</v>
      </c>
      <c r="J1777" s="218">
        <v>0</v>
      </c>
      <c r="K1777" s="188">
        <v>46692</v>
      </c>
    </row>
    <row r="1778" spans="1:11" s="182" customFormat="1" ht="38.25" customHeight="1" x14ac:dyDescent="0.3">
      <c r="A1778" s="177" t="s">
        <v>2716</v>
      </c>
      <c r="B1778" s="266"/>
      <c r="C1778" s="178" t="s">
        <v>2551</v>
      </c>
      <c r="D1778" s="178" t="s">
        <v>2552</v>
      </c>
      <c r="E1778" s="185" t="s">
        <v>2501</v>
      </c>
      <c r="F1778" s="222" t="s">
        <v>2512</v>
      </c>
      <c r="G1778" s="218">
        <v>0</v>
      </c>
      <c r="H1778" s="218">
        <v>0</v>
      </c>
      <c r="I1778" s="222" t="s">
        <v>2512</v>
      </c>
      <c r="J1778" s="218">
        <v>0</v>
      </c>
      <c r="K1778" s="188">
        <v>46692</v>
      </c>
    </row>
    <row r="1779" spans="1:11" s="182" customFormat="1" ht="38.25" customHeight="1" x14ac:dyDescent="0.3">
      <c r="A1779" s="177" t="s">
        <v>2717</v>
      </c>
      <c r="B1779" s="266"/>
      <c r="C1779" s="178" t="s">
        <v>2553</v>
      </c>
      <c r="D1779" s="178" t="s">
        <v>2481</v>
      </c>
      <c r="E1779" s="185" t="s">
        <v>2482</v>
      </c>
      <c r="F1779" s="222" t="s">
        <v>2532</v>
      </c>
      <c r="G1779" s="218">
        <v>0</v>
      </c>
      <c r="H1779" s="218">
        <v>0</v>
      </c>
      <c r="I1779" s="222" t="s">
        <v>2532</v>
      </c>
      <c r="J1779" s="218">
        <v>0</v>
      </c>
      <c r="K1779" s="188">
        <v>46874</v>
      </c>
    </row>
    <row r="1780" spans="1:11" s="182" customFormat="1" ht="29.25" customHeight="1" x14ac:dyDescent="0.3">
      <c r="A1780" s="177" t="s">
        <v>2718</v>
      </c>
      <c r="B1780" s="266"/>
      <c r="C1780" s="178" t="s">
        <v>2554</v>
      </c>
      <c r="D1780" s="178" t="s">
        <v>2487</v>
      </c>
      <c r="E1780" s="185" t="s">
        <v>2482</v>
      </c>
      <c r="F1780" s="222" t="s">
        <v>2488</v>
      </c>
      <c r="G1780" s="218">
        <v>0</v>
      </c>
      <c r="H1780" s="218">
        <v>0</v>
      </c>
      <c r="I1780" s="222" t="s">
        <v>2488</v>
      </c>
      <c r="J1780" s="218">
        <v>0</v>
      </c>
      <c r="K1780" s="188">
        <v>46874</v>
      </c>
    </row>
    <row r="1781" spans="1:11" s="182" customFormat="1" ht="33.75" customHeight="1" x14ac:dyDescent="0.3">
      <c r="A1781" s="177" t="s">
        <v>2719</v>
      </c>
      <c r="B1781" s="266"/>
      <c r="C1781" s="178" t="s">
        <v>2555</v>
      </c>
      <c r="D1781" s="178" t="s">
        <v>2490</v>
      </c>
      <c r="E1781" s="185" t="s">
        <v>2482</v>
      </c>
      <c r="F1781" s="222" t="s">
        <v>2491</v>
      </c>
      <c r="G1781" s="218">
        <v>0</v>
      </c>
      <c r="H1781" s="218">
        <v>0</v>
      </c>
      <c r="I1781" s="222" t="s">
        <v>2491</v>
      </c>
      <c r="J1781" s="218">
        <v>0</v>
      </c>
      <c r="K1781" s="188">
        <v>46874</v>
      </c>
    </row>
    <row r="1782" spans="1:11" s="182" customFormat="1" ht="39" customHeight="1" x14ac:dyDescent="0.3">
      <c r="A1782" s="177" t="s">
        <v>2720</v>
      </c>
      <c r="B1782" s="266"/>
      <c r="C1782" s="178" t="s">
        <v>2556</v>
      </c>
      <c r="D1782" s="178" t="s">
        <v>2496</v>
      </c>
      <c r="E1782" s="185" t="s">
        <v>2482</v>
      </c>
      <c r="F1782" s="222" t="s">
        <v>2491</v>
      </c>
      <c r="G1782" s="218">
        <v>0</v>
      </c>
      <c r="H1782" s="218">
        <v>0</v>
      </c>
      <c r="I1782" s="222" t="s">
        <v>2491</v>
      </c>
      <c r="J1782" s="218">
        <v>0</v>
      </c>
      <c r="K1782" s="188">
        <v>46997</v>
      </c>
    </row>
    <row r="1783" spans="1:11" s="182" customFormat="1" ht="43.5" customHeight="1" x14ac:dyDescent="0.3">
      <c r="A1783" s="177" t="s">
        <v>2721</v>
      </c>
      <c r="B1783" s="266"/>
      <c r="C1783" s="178" t="s">
        <v>2557</v>
      </c>
      <c r="D1783" s="178" t="s">
        <v>2484</v>
      </c>
      <c r="E1783" s="185" t="s">
        <v>2482</v>
      </c>
      <c r="F1783" s="222" t="s">
        <v>2485</v>
      </c>
      <c r="G1783" s="218">
        <v>0</v>
      </c>
      <c r="H1783" s="218">
        <v>0</v>
      </c>
      <c r="I1783" s="222" t="s">
        <v>2485</v>
      </c>
      <c r="J1783" s="218">
        <v>0</v>
      </c>
      <c r="K1783" s="188">
        <v>46844</v>
      </c>
    </row>
    <row r="1784" spans="1:11" s="182" customFormat="1" ht="36" customHeight="1" x14ac:dyDescent="0.3">
      <c r="A1784" s="177" t="s">
        <v>2722</v>
      </c>
      <c r="B1784" s="266"/>
      <c r="C1784" s="178" t="s">
        <v>2558</v>
      </c>
      <c r="D1784" s="178" t="s">
        <v>2493</v>
      </c>
      <c r="E1784" s="185" t="s">
        <v>2482</v>
      </c>
      <c r="F1784" s="222" t="s">
        <v>2494</v>
      </c>
      <c r="G1784" s="218">
        <v>0</v>
      </c>
      <c r="H1784" s="218">
        <v>0</v>
      </c>
      <c r="I1784" s="222" t="s">
        <v>2494</v>
      </c>
      <c r="J1784" s="218">
        <v>0</v>
      </c>
      <c r="K1784" s="188">
        <v>46997</v>
      </c>
    </row>
    <row r="1785" spans="1:11" s="182" customFormat="1" ht="31.5" customHeight="1" x14ac:dyDescent="0.3">
      <c r="A1785" s="177" t="s">
        <v>2723</v>
      </c>
      <c r="B1785" s="267"/>
      <c r="C1785" s="180" t="s">
        <v>2559</v>
      </c>
      <c r="D1785" s="180" t="s">
        <v>70</v>
      </c>
      <c r="E1785" s="187" t="s">
        <v>2482</v>
      </c>
      <c r="F1785" s="223" t="s">
        <v>2502</v>
      </c>
      <c r="G1785" s="218">
        <v>0</v>
      </c>
      <c r="H1785" s="218">
        <v>0</v>
      </c>
      <c r="I1785" s="223" t="s">
        <v>2502</v>
      </c>
      <c r="J1785" s="218">
        <v>0</v>
      </c>
      <c r="K1785" s="189">
        <v>46844</v>
      </c>
    </row>
    <row r="1786" spans="1:11" s="182" customFormat="1" ht="19.5" customHeight="1" x14ac:dyDescent="0.3">
      <c r="A1786" s="277" t="s">
        <v>1675</v>
      </c>
      <c r="B1786" s="277"/>
      <c r="C1786" s="277"/>
      <c r="D1786" s="277"/>
      <c r="E1786" s="277"/>
      <c r="F1786" s="224">
        <v>10209</v>
      </c>
      <c r="G1786" s="218">
        <v>0</v>
      </c>
      <c r="H1786" s="218">
        <v>0</v>
      </c>
      <c r="I1786" s="224">
        <v>10209</v>
      </c>
      <c r="J1786" s="218">
        <v>0</v>
      </c>
      <c r="K1786" s="183"/>
    </row>
  </sheetData>
  <mergeCells count="447">
    <mergeCell ref="A2:K3"/>
    <mergeCell ref="C5:C6"/>
    <mergeCell ref="E4:E6"/>
    <mergeCell ref="F4:F6"/>
    <mergeCell ref="G4:J4"/>
    <mergeCell ref="H5:I5"/>
    <mergeCell ref="G5:G6"/>
    <mergeCell ref="J5:J6"/>
    <mergeCell ref="K4:K6"/>
    <mergeCell ref="A4:A6"/>
    <mergeCell ref="B4:B6"/>
    <mergeCell ref="C4:D4"/>
    <mergeCell ref="D5:D6"/>
    <mergeCell ref="A139:C139"/>
    <mergeCell ref="A142:C142"/>
    <mergeCell ref="A145:C145"/>
    <mergeCell ref="A148:C148"/>
    <mergeCell ref="A157:C157"/>
    <mergeCell ref="A117:C117"/>
    <mergeCell ref="A123:C123"/>
    <mergeCell ref="A126:C126"/>
    <mergeCell ref="A134:C134"/>
    <mergeCell ref="A136:C136"/>
    <mergeCell ref="A131:C131"/>
    <mergeCell ref="A184:C184"/>
    <mergeCell ref="A207:C207"/>
    <mergeCell ref="A212:C212"/>
    <mergeCell ref="A221:C221"/>
    <mergeCell ref="A163:C163"/>
    <mergeCell ref="A167:C167"/>
    <mergeCell ref="A171:C171"/>
    <mergeCell ref="A176:C176"/>
    <mergeCell ref="A180:C180"/>
    <mergeCell ref="B185:B191"/>
    <mergeCell ref="B181:B183"/>
    <mergeCell ref="B177:B179"/>
    <mergeCell ref="B172:B175"/>
    <mergeCell ref="B168:B170"/>
    <mergeCell ref="B164:B166"/>
    <mergeCell ref="B199:B206"/>
    <mergeCell ref="B193:B197"/>
    <mergeCell ref="A299:C299"/>
    <mergeCell ref="A308:C308"/>
    <mergeCell ref="A335:C335"/>
    <mergeCell ref="A357:C357"/>
    <mergeCell ref="A369:C369"/>
    <mergeCell ref="A229:C229"/>
    <mergeCell ref="A232:C232"/>
    <mergeCell ref="A272:C272"/>
    <mergeCell ref="A282:C282"/>
    <mergeCell ref="A291:C291"/>
    <mergeCell ref="B292:B298"/>
    <mergeCell ref="B283:B290"/>
    <mergeCell ref="B273:B281"/>
    <mergeCell ref="B233:B271"/>
    <mergeCell ref="B230:B231"/>
    <mergeCell ref="A478:C478"/>
    <mergeCell ref="A530:C530"/>
    <mergeCell ref="A557:C557"/>
    <mergeCell ref="A571:C571"/>
    <mergeCell ref="A582:C582"/>
    <mergeCell ref="A378:C378"/>
    <mergeCell ref="A386:C386"/>
    <mergeCell ref="A390:C390"/>
    <mergeCell ref="A410:C410"/>
    <mergeCell ref="A428:C428"/>
    <mergeCell ref="A1022:C1022"/>
    <mergeCell ref="A1019:C1019"/>
    <mergeCell ref="A192:C192"/>
    <mergeCell ref="A198:C198"/>
    <mergeCell ref="A897:C897"/>
    <mergeCell ref="A900:C900"/>
    <mergeCell ref="A971:C971"/>
    <mergeCell ref="A998:C998"/>
    <mergeCell ref="A799:C799"/>
    <mergeCell ref="A834:C834"/>
    <mergeCell ref="A852:C852"/>
    <mergeCell ref="A860:D860"/>
    <mergeCell ref="A879:C879"/>
    <mergeCell ref="A725:C725"/>
    <mergeCell ref="A744:C744"/>
    <mergeCell ref="A746:C746"/>
    <mergeCell ref="A768:C768"/>
    <mergeCell ref="A784:C784"/>
    <mergeCell ref="A587:C587"/>
    <mergeCell ref="A602:C602"/>
    <mergeCell ref="A607:C607"/>
    <mergeCell ref="A621:C621"/>
    <mergeCell ref="A683:C683"/>
    <mergeCell ref="B622:B682"/>
    <mergeCell ref="A1045:C1045"/>
    <mergeCell ref="A1047:C1047"/>
    <mergeCell ref="A1049:C1049"/>
    <mergeCell ref="B1050:B1051"/>
    <mergeCell ref="A1052:C1052"/>
    <mergeCell ref="B1023:B1030"/>
    <mergeCell ref="A1031:C1031"/>
    <mergeCell ref="B1032:B1038"/>
    <mergeCell ref="A1039:C1039"/>
    <mergeCell ref="B1040:B1044"/>
    <mergeCell ref="B1065:B1066"/>
    <mergeCell ref="A1067:C1067"/>
    <mergeCell ref="A1069:C1069"/>
    <mergeCell ref="A1071:C1071"/>
    <mergeCell ref="A1073:C1073"/>
    <mergeCell ref="A1054:C1054"/>
    <mergeCell ref="A1056:C1056"/>
    <mergeCell ref="B1057:B1061"/>
    <mergeCell ref="A1062:C1062"/>
    <mergeCell ref="A1064:C1064"/>
    <mergeCell ref="A1085:C1085"/>
    <mergeCell ref="A1087:C1087"/>
    <mergeCell ref="A1089:C1089"/>
    <mergeCell ref="A1091:C1091"/>
    <mergeCell ref="B1092:B1099"/>
    <mergeCell ref="A1075:C1075"/>
    <mergeCell ref="A1077:C1077"/>
    <mergeCell ref="A1079:C1079"/>
    <mergeCell ref="A1081:C1081"/>
    <mergeCell ref="A1083:C1083"/>
    <mergeCell ref="A1108:C1108"/>
    <mergeCell ref="B1109:B1110"/>
    <mergeCell ref="A1111:C1111"/>
    <mergeCell ref="A1113:C1113"/>
    <mergeCell ref="A1115:C1115"/>
    <mergeCell ref="A1100:C1100"/>
    <mergeCell ref="A1102:C1102"/>
    <mergeCell ref="B1103:B1104"/>
    <mergeCell ref="A1105:C1105"/>
    <mergeCell ref="B1106:B1107"/>
    <mergeCell ref="B1129:B1130"/>
    <mergeCell ref="A1131:C1131"/>
    <mergeCell ref="A1133:C1133"/>
    <mergeCell ref="A1135:C1135"/>
    <mergeCell ref="B1136:B1137"/>
    <mergeCell ref="B1116:B1120"/>
    <mergeCell ref="A1121:C1121"/>
    <mergeCell ref="B1122:B1125"/>
    <mergeCell ref="A1126:C1126"/>
    <mergeCell ref="A1128:C1128"/>
    <mergeCell ref="A1149:C1149"/>
    <mergeCell ref="A1151:C1151"/>
    <mergeCell ref="A1153:C1153"/>
    <mergeCell ref="B1154:B1156"/>
    <mergeCell ref="A1157:C1157"/>
    <mergeCell ref="A1138:C1138"/>
    <mergeCell ref="B1139:B1140"/>
    <mergeCell ref="A1141:C1141"/>
    <mergeCell ref="A1143:C1143"/>
    <mergeCell ref="B1144:B1148"/>
    <mergeCell ref="A1167:C1167"/>
    <mergeCell ref="B1168:B1171"/>
    <mergeCell ref="A1172:C1172"/>
    <mergeCell ref="B1173:B1174"/>
    <mergeCell ref="A1175:C1175"/>
    <mergeCell ref="A1159:C1159"/>
    <mergeCell ref="B1160:B1161"/>
    <mergeCell ref="A1162:C1162"/>
    <mergeCell ref="B1163:B1164"/>
    <mergeCell ref="A1165:C1165"/>
    <mergeCell ref="A1185:C1185"/>
    <mergeCell ref="B1186:B1192"/>
    <mergeCell ref="A1193:C1193"/>
    <mergeCell ref="A1195:C1195"/>
    <mergeCell ref="B1196:B1208"/>
    <mergeCell ref="A1177:C1177"/>
    <mergeCell ref="A1179:C1179"/>
    <mergeCell ref="B1180:B1181"/>
    <mergeCell ref="A1182:C1182"/>
    <mergeCell ref="B1183:B1184"/>
    <mergeCell ref="A1218:C1218"/>
    <mergeCell ref="A1220:C1220"/>
    <mergeCell ref="A1222:C1222"/>
    <mergeCell ref="A1224:C1224"/>
    <mergeCell ref="A1209:C1209"/>
    <mergeCell ref="B1210:B1211"/>
    <mergeCell ref="A1212:C1212"/>
    <mergeCell ref="A1214:C1214"/>
    <mergeCell ref="A1216:C1216"/>
    <mergeCell ref="A1236:C1236"/>
    <mergeCell ref="A1238:C1238"/>
    <mergeCell ref="A1240:C1240"/>
    <mergeCell ref="B1241:B1242"/>
    <mergeCell ref="A1243:C1243"/>
    <mergeCell ref="B1225:B1228"/>
    <mergeCell ref="A1229:C1229"/>
    <mergeCell ref="A1231:C1231"/>
    <mergeCell ref="A1233:C1233"/>
    <mergeCell ref="B1234:B1235"/>
    <mergeCell ref="B1254:B1258"/>
    <mergeCell ref="A1259:C1259"/>
    <mergeCell ref="B1260:B1263"/>
    <mergeCell ref="A1264:C1264"/>
    <mergeCell ref="B1265:B1269"/>
    <mergeCell ref="B1244:B1245"/>
    <mergeCell ref="A1246:C1246"/>
    <mergeCell ref="A1248:C1248"/>
    <mergeCell ref="B1249:B1252"/>
    <mergeCell ref="A1253:C1253"/>
    <mergeCell ref="A1280:C1280"/>
    <mergeCell ref="B1281:B1284"/>
    <mergeCell ref="A1285:C1285"/>
    <mergeCell ref="B1286:B1289"/>
    <mergeCell ref="A1290:C1290"/>
    <mergeCell ref="A1270:C1270"/>
    <mergeCell ref="B1271:B1272"/>
    <mergeCell ref="A1273:C1273"/>
    <mergeCell ref="A1275:C1275"/>
    <mergeCell ref="B1276:B1279"/>
    <mergeCell ref="A1313:C1313"/>
    <mergeCell ref="B1314:B1315"/>
    <mergeCell ref="A1316:C1316"/>
    <mergeCell ref="B1317:B1319"/>
    <mergeCell ref="A1320:C1320"/>
    <mergeCell ref="A1292:C1292"/>
    <mergeCell ref="A1294:C1294"/>
    <mergeCell ref="B1295:B1303"/>
    <mergeCell ref="A1304:C1304"/>
    <mergeCell ref="B1305:B1312"/>
    <mergeCell ref="A1333:C1333"/>
    <mergeCell ref="A1335:C1335"/>
    <mergeCell ref="B1336:B1339"/>
    <mergeCell ref="A1340:C1340"/>
    <mergeCell ref="A1342:C1342"/>
    <mergeCell ref="A1322:C1322"/>
    <mergeCell ref="B1323:B1325"/>
    <mergeCell ref="A1326:C1326"/>
    <mergeCell ref="B1327:B1330"/>
    <mergeCell ref="A1331:C1331"/>
    <mergeCell ref="B1355:B1356"/>
    <mergeCell ref="A1357:C1357"/>
    <mergeCell ref="B1358:B1360"/>
    <mergeCell ref="A1361:C1361"/>
    <mergeCell ref="B1362:B1365"/>
    <mergeCell ref="B1343:B1347"/>
    <mergeCell ref="A1348:C1348"/>
    <mergeCell ref="B1349:B1351"/>
    <mergeCell ref="A1352:C1352"/>
    <mergeCell ref="A1354:C1354"/>
    <mergeCell ref="B1375:B1377"/>
    <mergeCell ref="A1378:C1378"/>
    <mergeCell ref="B1379:B1381"/>
    <mergeCell ref="A1382:C1382"/>
    <mergeCell ref="B1383:B1384"/>
    <mergeCell ref="A1366:C1366"/>
    <mergeCell ref="B1367:B1370"/>
    <mergeCell ref="A1371:C1371"/>
    <mergeCell ref="B1372:B1373"/>
    <mergeCell ref="A1374:C1374"/>
    <mergeCell ref="A1395:D1395"/>
    <mergeCell ref="A1397:D1397"/>
    <mergeCell ref="B1398:B1399"/>
    <mergeCell ref="A1400:D1400"/>
    <mergeCell ref="B1401:B1404"/>
    <mergeCell ref="A1385:D1385"/>
    <mergeCell ref="A1387:D1387"/>
    <mergeCell ref="A1389:D1389"/>
    <mergeCell ref="A1391:D1391"/>
    <mergeCell ref="A1393:D1393"/>
    <mergeCell ref="B1415:B1416"/>
    <mergeCell ref="A1417:D1417"/>
    <mergeCell ref="B1418:B1420"/>
    <mergeCell ref="A1421:D1421"/>
    <mergeCell ref="B1422:B1423"/>
    <mergeCell ref="A1405:D1405"/>
    <mergeCell ref="B1406:B1409"/>
    <mergeCell ref="A1410:D1410"/>
    <mergeCell ref="B1411:B1413"/>
    <mergeCell ref="A1414:D1414"/>
    <mergeCell ref="B1433:B1437"/>
    <mergeCell ref="A1438:D1438"/>
    <mergeCell ref="B1439:B1440"/>
    <mergeCell ref="A1441:D1441"/>
    <mergeCell ref="B1442:B1444"/>
    <mergeCell ref="A1424:D1424"/>
    <mergeCell ref="A1426:D1426"/>
    <mergeCell ref="B1427:B1429"/>
    <mergeCell ref="A1430:D1430"/>
    <mergeCell ref="A1432:D1432"/>
    <mergeCell ref="B1454:B1456"/>
    <mergeCell ref="A1457:D1457"/>
    <mergeCell ref="B1458:B1460"/>
    <mergeCell ref="A1461:D1461"/>
    <mergeCell ref="A1463:D1463"/>
    <mergeCell ref="A1445:D1445"/>
    <mergeCell ref="B1446:B1448"/>
    <mergeCell ref="A1449:D1449"/>
    <mergeCell ref="A1451:D1451"/>
    <mergeCell ref="A1453:D1453"/>
    <mergeCell ref="A1477:D1477"/>
    <mergeCell ref="B1478:B1479"/>
    <mergeCell ref="A1480:D1480"/>
    <mergeCell ref="B1481:B1482"/>
    <mergeCell ref="A1483:D1483"/>
    <mergeCell ref="B1464:B1469"/>
    <mergeCell ref="A1470:D1470"/>
    <mergeCell ref="B1471:B1472"/>
    <mergeCell ref="A1473:D1473"/>
    <mergeCell ref="A1475:D1475"/>
    <mergeCell ref="B1494:B1495"/>
    <mergeCell ref="A1496:D1496"/>
    <mergeCell ref="A1498:D1498"/>
    <mergeCell ref="B1499:B1500"/>
    <mergeCell ref="A1501:D1501"/>
    <mergeCell ref="A1486:D1486"/>
    <mergeCell ref="B1487:B1488"/>
    <mergeCell ref="A1489:D1489"/>
    <mergeCell ref="A1491:D1491"/>
    <mergeCell ref="A1493:D1493"/>
    <mergeCell ref="B1511:B1512"/>
    <mergeCell ref="A1513:D1513"/>
    <mergeCell ref="B1514:B1516"/>
    <mergeCell ref="A1517:D1517"/>
    <mergeCell ref="A1519:D1519"/>
    <mergeCell ref="A1503:D1503"/>
    <mergeCell ref="B1504:B1505"/>
    <mergeCell ref="A1506:D1506"/>
    <mergeCell ref="A1508:D1508"/>
    <mergeCell ref="A1510:D1510"/>
    <mergeCell ref="A1531:D1531"/>
    <mergeCell ref="A1533:D1533"/>
    <mergeCell ref="B1534:B1535"/>
    <mergeCell ref="A1536:D1536"/>
    <mergeCell ref="B1537:B1540"/>
    <mergeCell ref="A1521:D1521"/>
    <mergeCell ref="A1523:D1523"/>
    <mergeCell ref="A1525:D1525"/>
    <mergeCell ref="A1527:D1527"/>
    <mergeCell ref="A1529:D1529"/>
    <mergeCell ref="A1550:D1550"/>
    <mergeCell ref="A1552:D1552"/>
    <mergeCell ref="A1554:D1554"/>
    <mergeCell ref="A1556:D1556"/>
    <mergeCell ref="A1558:D1558"/>
    <mergeCell ref="A1541:D1541"/>
    <mergeCell ref="B1542:B1543"/>
    <mergeCell ref="A1544:D1544"/>
    <mergeCell ref="A1546:D1546"/>
    <mergeCell ref="B1547:B1549"/>
    <mergeCell ref="A1569:D1569"/>
    <mergeCell ref="B1570:B1589"/>
    <mergeCell ref="A1590:D1590"/>
    <mergeCell ref="B1591:B1592"/>
    <mergeCell ref="A1593:D1593"/>
    <mergeCell ref="B1559:B1562"/>
    <mergeCell ref="A1563:D1563"/>
    <mergeCell ref="B1564:B1565"/>
    <mergeCell ref="A1566:D1566"/>
    <mergeCell ref="B1567:B1568"/>
    <mergeCell ref="B1663:B1669"/>
    <mergeCell ref="A1670:E1670"/>
    <mergeCell ref="B1671:B1674"/>
    <mergeCell ref="A1675:E1675"/>
    <mergeCell ref="B1676:B1678"/>
    <mergeCell ref="B1594:B1595"/>
    <mergeCell ref="A1596:D1596"/>
    <mergeCell ref="A1639:C1639"/>
    <mergeCell ref="A1653:C1653"/>
    <mergeCell ref="A1662:C1662"/>
    <mergeCell ref="B1656:B1661"/>
    <mergeCell ref="B1654:B1655"/>
    <mergeCell ref="B1644:B1652"/>
    <mergeCell ref="B1640:B1643"/>
    <mergeCell ref="B1632:B1638"/>
    <mergeCell ref="B1597:B1631"/>
    <mergeCell ref="B1715:B1728"/>
    <mergeCell ref="A1729:E1729"/>
    <mergeCell ref="A1733:D1733"/>
    <mergeCell ref="A1737:D1737"/>
    <mergeCell ref="A1741:D1741"/>
    <mergeCell ref="B1730:B1732"/>
    <mergeCell ref="A1679:E1679"/>
    <mergeCell ref="B1680:B1698"/>
    <mergeCell ref="A1699:E1699"/>
    <mergeCell ref="B1700:B1713"/>
    <mergeCell ref="A1714:E1714"/>
    <mergeCell ref="B1742:B1749"/>
    <mergeCell ref="B1769:B1785"/>
    <mergeCell ref="B1751:B1767"/>
    <mergeCell ref="B1734:B1736"/>
    <mergeCell ref="B1738:B1740"/>
    <mergeCell ref="A1750:D1750"/>
    <mergeCell ref="A1768:E1768"/>
    <mergeCell ref="A1786:E1786"/>
    <mergeCell ref="B880:B896"/>
    <mergeCell ref="B861:B878"/>
    <mergeCell ref="B853:B859"/>
    <mergeCell ref="B835:B851"/>
    <mergeCell ref="B800:B833"/>
    <mergeCell ref="B1020:B1021"/>
    <mergeCell ref="B999:B1018"/>
    <mergeCell ref="B972:B997"/>
    <mergeCell ref="B901:B970"/>
    <mergeCell ref="B898:B899"/>
    <mergeCell ref="B583:B586"/>
    <mergeCell ref="B572:B581"/>
    <mergeCell ref="B558:B570"/>
    <mergeCell ref="B531:B556"/>
    <mergeCell ref="B479:B529"/>
    <mergeCell ref="B785:B798"/>
    <mergeCell ref="B769:B783"/>
    <mergeCell ref="B747:B767"/>
    <mergeCell ref="B726:B743"/>
    <mergeCell ref="B684:B724"/>
    <mergeCell ref="B608:B620"/>
    <mergeCell ref="B603:B606"/>
    <mergeCell ref="B588:B601"/>
    <mergeCell ref="B370:B377"/>
    <mergeCell ref="B358:B368"/>
    <mergeCell ref="B336:B356"/>
    <mergeCell ref="B309:B334"/>
    <mergeCell ref="B300:B307"/>
    <mergeCell ref="B429:B477"/>
    <mergeCell ref="B411:B427"/>
    <mergeCell ref="B391:B409"/>
    <mergeCell ref="B387:B389"/>
    <mergeCell ref="B379:B385"/>
    <mergeCell ref="B109:B116"/>
    <mergeCell ref="B105:B107"/>
    <mergeCell ref="B99:B103"/>
    <mergeCell ref="B94:B97"/>
    <mergeCell ref="B83:B92"/>
    <mergeCell ref="B137:B138"/>
    <mergeCell ref="B132:B133"/>
    <mergeCell ref="B127:B130"/>
    <mergeCell ref="B124:B125"/>
    <mergeCell ref="B118:B122"/>
    <mergeCell ref="A93:C93"/>
    <mergeCell ref="A98:C98"/>
    <mergeCell ref="A104:C104"/>
    <mergeCell ref="A108:C108"/>
    <mergeCell ref="A82:C82"/>
    <mergeCell ref="A62:C62"/>
    <mergeCell ref="A37:C37"/>
    <mergeCell ref="A10:C10"/>
    <mergeCell ref="B63:B81"/>
    <mergeCell ref="B38:B61"/>
    <mergeCell ref="B11:B36"/>
    <mergeCell ref="B8:B9"/>
    <mergeCell ref="B158:B162"/>
    <mergeCell ref="B149:B156"/>
    <mergeCell ref="B146:B147"/>
    <mergeCell ref="B143:B144"/>
    <mergeCell ref="B140:B141"/>
    <mergeCell ref="B222:B228"/>
    <mergeCell ref="B213:B220"/>
    <mergeCell ref="B208:B211"/>
  </mergeCells>
  <phoneticPr fontId="1" type="noConversion"/>
  <pageMargins left="3.937007874015748E-2" right="0.19685039370078741" top="0.51181102362204722" bottom="0.15748031496062992" header="0.31496062992125984" footer="0.31496062992125984"/>
  <pageSetup paperSize="9" scale="6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44-ФЗ</vt:lpstr>
      <vt:lpstr>'44-ФЗ'!Заголовки_для_печати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Белоусова Эльвира</dc:creator>
  <cp:lastModifiedBy>Морозова Елена Владимировна</cp:lastModifiedBy>
  <cp:lastPrinted>2026-02-05T09:51:40Z</cp:lastPrinted>
  <dcterms:created xsi:type="dcterms:W3CDTF">2015-06-05T18:19:34Z</dcterms:created>
  <dcterms:modified xsi:type="dcterms:W3CDTF">2026-02-05T09:52:28Z</dcterms:modified>
</cp:coreProperties>
</file>